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05" yWindow="-105" windowWidth="23250" windowHeight="12450" activeTab="1"/>
  </bookViews>
  <sheets>
    <sheet name="TITLE" sheetId="6" r:id="rId1"/>
    <sheet name="Products" sheetId="5" r:id="rId2"/>
    <sheet name="print page" sheetId="7" r:id="rId3"/>
  </sheets>
  <definedNames>
    <definedName name="Door_Dobor">Products!$B$2094:$W$2110</definedName>
    <definedName name="Door_Dobor_Lada">Products!$B$2027:$W$2044</definedName>
    <definedName name="Door_Elegant">Products!$B$1884:$W$1909</definedName>
    <definedName name="Door_Eva">Products!$B$1519:$W$1543</definedName>
    <definedName name="Door_Geometry">Products!$B$161:$W$187</definedName>
    <definedName name="Door_Glasford">Products!$B$1959:$W$1977</definedName>
    <definedName name="Door_Gordana">Products!$B$237:$W$237</definedName>
    <definedName name="Door_Idea">Products!$B$287:$W$314</definedName>
    <definedName name="Door_IdeaLoft">Products!$B$364:$W$386</definedName>
    <definedName name="Door_Kupava">Products!$B$88:$W$110</definedName>
    <definedName name="Door_LadaA">Products!$B$682:$W$705</definedName>
    <definedName name="Door_LadaB">Products!$B$755:$W$779</definedName>
    <definedName name="Door_LadaC">Products!$B$829:$W$851</definedName>
    <definedName name="Door_LadaD">Products!$B$901:$W$924</definedName>
    <definedName name="Door_LadaK">Products!$B$1120:$W$1148</definedName>
    <definedName name="Door_LadaL">Products!$B$1323:$W$1350</definedName>
    <definedName name="Door_LadaN">Products!$B$1198:$W$1226</definedName>
    <definedName name="Door_Linda">Products!#REF!</definedName>
    <definedName name="Door_Line">Products!$B$1807:$W$1834</definedName>
    <definedName name="Door_Lineya">Products!$B$1734:$W$1757</definedName>
    <definedName name="Door_Lisa">Products!$B$1047:$W$1070</definedName>
    <definedName name="Door_Mira">Products!#REF!</definedName>
    <definedName name="Door_Modern">Products!#REF!</definedName>
    <definedName name="Door_Nika">Products!$B$974:$W$997</definedName>
    <definedName name="Door_Pollo">Products!#REF!</definedName>
    <definedName name="Door_Ruta">Products!#REF!</definedName>
    <definedName name="Door_RutaF">Products!#REF!</definedName>
    <definedName name="Door_Standard">Products!$B$10:$W$37</definedName>
    <definedName name="Door_Tiana">Products!$B$1446:$W$1469</definedName>
    <definedName name="Door_Trend">Products!#REF!</definedName>
    <definedName name="DoorHandles">Products!$B$2711:$W$2719</definedName>
    <definedName name="Frame_Stand">Products!$B$2219:$W$2237</definedName>
    <definedName name="Frame_VFit">Products!$B$2287:$W$2309</definedName>
    <definedName name="Frame_VFitComfort">Products!$B$2427:$W$2492</definedName>
    <definedName name="Frame_VFitPlus">Products!$B$2359:$W$2377</definedName>
    <definedName name="Framugi">Products!$B$2635:$W$2661</definedName>
    <definedName name="Furniture">Products!$B$2769:$W$2798</definedName>
    <definedName name="Inside">Products!$B$2466:$AY$2492</definedName>
    <definedName name="MENU">TITLE!$A$2</definedName>
    <definedName name="Plinths">Products!$B$2577:$W$2585</definedName>
    <definedName name="vat">Products!$AC$2:$AC$3</definedName>
    <definedName name="Verto_Slide">Products!$B$2160:$W$2169</definedName>
    <definedName name="Дверна_коробка_STANDARD___Алюм">Products!$B$2251:$K$2260</definedName>
    <definedName name="ІДЕЯ_АЛЮМ">Products!$B$412:$I$424</definedName>
    <definedName name="Полотна_збірні__КЛАСІК">Products!$B$582:$W$607</definedName>
    <definedName name="Полотна_збірні__МОДЕНА">Products!$B$510:$W$533</definedName>
    <definedName name="Полотна_збірні__СОХО">Products!$B$463:$W$487</definedName>
    <definedName name="Прованс" localSheetId="1">Products!$B$632:$W$655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6"/>
  <c r="D2" l="1"/>
  <c r="L112" i="7" l="1"/>
  <c r="B112"/>
  <c r="B111"/>
  <c r="B110"/>
  <c r="B109"/>
  <c r="L99"/>
  <c r="B99"/>
  <c r="B98"/>
  <c r="B97"/>
  <c r="B96"/>
  <c r="AQ518" i="5"/>
  <c r="AO518"/>
  <c r="AM518"/>
  <c r="AK518"/>
  <c r="AI518"/>
  <c r="F518"/>
  <c r="G518" s="1"/>
  <c r="E112" i="7" s="1"/>
  <c r="D518" i="5"/>
  <c r="E518" s="1"/>
  <c r="D112" i="7" s="1"/>
  <c r="F517" i="5"/>
  <c r="G517" s="1"/>
  <c r="E111" i="7" s="1"/>
  <c r="E517" i="5"/>
  <c r="D111" i="7" s="1"/>
  <c r="D517" i="5"/>
  <c r="F516"/>
  <c r="G516" s="1"/>
  <c r="E110" i="7" s="1"/>
  <c r="D516" i="5"/>
  <c r="E516" s="1"/>
  <c r="D110" i="7" s="1"/>
  <c r="AQ515" i="5"/>
  <c r="AO515"/>
  <c r="AM515"/>
  <c r="AK515"/>
  <c r="AI515"/>
  <c r="F515"/>
  <c r="G515" s="1"/>
  <c r="E109" i="7" s="1"/>
  <c r="D515" i="5"/>
  <c r="E515" s="1"/>
  <c r="D109" i="7" s="1"/>
  <c r="AQ470" i="5"/>
  <c r="L470"/>
  <c r="M470" s="1"/>
  <c r="H98" i="7" s="1"/>
  <c r="J470" i="5"/>
  <c r="K470" s="1"/>
  <c r="G98" i="7" s="1"/>
  <c r="H470" i="5"/>
  <c r="I470" s="1"/>
  <c r="F98" i="7" s="1"/>
  <c r="F470" i="5"/>
  <c r="G470" s="1"/>
  <c r="E98" i="7" s="1"/>
  <c r="D470" i="5"/>
  <c r="E470" s="1"/>
  <c r="D98" i="7" s="1"/>
  <c r="D486" i="5"/>
  <c r="AE485"/>
  <c r="D485"/>
  <c r="E485" s="1"/>
  <c r="M103" i="7" s="1"/>
  <c r="AE484" i="5"/>
  <c r="D484"/>
  <c r="E484" s="1"/>
  <c r="M102" i="7" s="1"/>
  <c r="AE483" i="5"/>
  <c r="D483"/>
  <c r="E483" s="1"/>
  <c r="M101" i="7" s="1"/>
  <c r="AE482" i="5"/>
  <c r="D482"/>
  <c r="E482" s="1"/>
  <c r="M100" i="7" s="1"/>
  <c r="D481" i="5"/>
  <c r="E481" s="1"/>
  <c r="M99" i="7" s="1"/>
  <c r="AE480" i="5"/>
  <c r="D480"/>
  <c r="E480" s="1"/>
  <c r="M98" i="7" s="1"/>
  <c r="D479" i="5"/>
  <c r="E479" s="1"/>
  <c r="M97" i="7" s="1"/>
  <c r="AE478" i="5"/>
  <c r="D478"/>
  <c r="E478" s="1"/>
  <c r="M96" i="7" s="1"/>
  <c r="AE477" i="5"/>
  <c r="D477"/>
  <c r="E477" s="1"/>
  <c r="M95" i="7" s="1"/>
  <c r="AE476" i="5"/>
  <c r="D476"/>
  <c r="E476" s="1"/>
  <c r="M94" i="7" s="1"/>
  <c r="AE475" i="5"/>
  <c r="D475"/>
  <c r="E475" s="1"/>
  <c r="M93" i="7" s="1"/>
  <c r="AQ471" i="5"/>
  <c r="L471"/>
  <c r="M471" s="1"/>
  <c r="H99" i="7" s="1"/>
  <c r="J471" i="5"/>
  <c r="K471" s="1"/>
  <c r="G99" i="7" s="1"/>
  <c r="H471" i="5"/>
  <c r="I471" s="1"/>
  <c r="F99" i="7" s="1"/>
  <c r="F471" i="5"/>
  <c r="G471" s="1"/>
  <c r="E99" i="7" s="1"/>
  <c r="D471" i="5"/>
  <c r="E471" s="1"/>
  <c r="D99" i="7" s="1"/>
  <c r="AQ469" i="5"/>
  <c r="L469"/>
  <c r="M469" s="1"/>
  <c r="H97" i="7" s="1"/>
  <c r="J469" i="5"/>
  <c r="K469" s="1"/>
  <c r="G97" i="7" s="1"/>
  <c r="H469" i="5"/>
  <c r="I469" s="1"/>
  <c r="F97" i="7" s="1"/>
  <c r="F469" i="5"/>
  <c r="G469" s="1"/>
  <c r="E97" i="7" s="1"/>
  <c r="D469" i="5"/>
  <c r="E469" s="1"/>
  <c r="D97" i="7" s="1"/>
  <c r="AQ468" i="5"/>
  <c r="L468"/>
  <c r="M468" s="1"/>
  <c r="H96" i="7" s="1"/>
  <c r="J468" i="5"/>
  <c r="K468" s="1"/>
  <c r="G96" i="7" s="1"/>
  <c r="H468" i="5"/>
  <c r="I468" s="1"/>
  <c r="F96" i="7" s="1"/>
  <c r="F468" i="5"/>
  <c r="G468" s="1"/>
  <c r="E96" i="7" s="1"/>
  <c r="D468" i="5"/>
  <c r="E468" s="1"/>
  <c r="D96" i="7" s="1"/>
  <c r="AG466" i="5"/>
  <c r="AF466"/>
  <c r="AE466"/>
  <c r="AD466"/>
  <c r="D533"/>
  <c r="AE532"/>
  <c r="D532"/>
  <c r="E532" s="1"/>
  <c r="M116" i="7" s="1"/>
  <c r="AE531" i="5"/>
  <c r="D531"/>
  <c r="E531" s="1"/>
  <c r="M115" i="7" s="1"/>
  <c r="AE530" i="5"/>
  <c r="D530"/>
  <c r="E530" s="1"/>
  <c r="M114" i="7" s="1"/>
  <c r="AE529" i="5"/>
  <c r="D529"/>
  <c r="E529" s="1"/>
  <c r="M113" i="7" s="1"/>
  <c r="D528" i="5"/>
  <c r="E528" s="1"/>
  <c r="M112" i="7" s="1"/>
  <c r="AE527" i="5"/>
  <c r="D527"/>
  <c r="E527" s="1"/>
  <c r="M111" i="7" s="1"/>
  <c r="D526" i="5"/>
  <c r="E526" s="1"/>
  <c r="M110" i="7" s="1"/>
  <c r="AE525" i="5"/>
  <c r="D525"/>
  <c r="E525" s="1"/>
  <c r="M109" i="7" s="1"/>
  <c r="AE524" i="5"/>
  <c r="D524"/>
  <c r="E524" s="1"/>
  <c r="M108" i="7" s="1"/>
  <c r="AE523" i="5"/>
  <c r="D523"/>
  <c r="E523" s="1"/>
  <c r="M107" i="7" s="1"/>
  <c r="AE522" i="5"/>
  <c r="D522"/>
  <c r="E522" s="1"/>
  <c r="M106" i="7" s="1"/>
  <c r="AH513" i="5"/>
  <c r="AG513"/>
  <c r="AF513"/>
  <c r="AE513"/>
  <c r="C15" i="6"/>
  <c r="B510" i="5" s="1"/>
  <c r="B105" i="7" s="1"/>
  <c r="C14" i="6"/>
  <c r="B463" i="5" s="1"/>
  <c r="B92" i="7" s="1"/>
  <c r="D387"/>
  <c r="D2259" i="5"/>
  <c r="E2259" s="1"/>
  <c r="D391" i="7" s="1"/>
  <c r="F2255" i="5"/>
  <c r="D2255"/>
  <c r="E2255" s="1"/>
  <c r="D389" i="7" s="1"/>
  <c r="C41" i="6"/>
  <c r="B2251" i="5" s="1"/>
  <c r="B386" i="7" s="1"/>
  <c r="G2255" i="5" l="1"/>
  <c r="E389" i="7" s="1"/>
  <c r="AG2253" i="5"/>
  <c r="AE2253"/>
  <c r="L87" i="7"/>
  <c r="B90" l="1"/>
  <c r="B89"/>
  <c r="AE418" i="5"/>
  <c r="H418" s="1"/>
  <c r="I418" s="1"/>
  <c r="F90" i="7" s="1"/>
  <c r="AD418" i="5"/>
  <c r="F418" s="1"/>
  <c r="G418" s="1"/>
  <c r="E90" i="7" s="1"/>
  <c r="AC418" i="5"/>
  <c r="D418" s="1"/>
  <c r="E418" s="1"/>
  <c r="D90" i="7" s="1"/>
  <c r="AE417" i="5"/>
  <c r="H417" s="1"/>
  <c r="I417" s="1"/>
  <c r="F89" i="7" s="1"/>
  <c r="AD417" i="5"/>
  <c r="F417" s="1"/>
  <c r="G417" s="1"/>
  <c r="E89" i="7" s="1"/>
  <c r="AC417" i="5"/>
  <c r="D417" s="1"/>
  <c r="E417" s="1"/>
  <c r="D89" i="7" s="1"/>
  <c r="AD424" i="5"/>
  <c r="AE424" s="1"/>
  <c r="AE422"/>
  <c r="D424"/>
  <c r="D423"/>
  <c r="E423" s="1"/>
  <c r="M87" i="7" s="1"/>
  <c r="D422" i="5"/>
  <c r="E422" s="1"/>
  <c r="M86" i="7" s="1"/>
  <c r="C13" i="6"/>
  <c r="B412" i="5" s="1"/>
  <c r="AE169"/>
  <c r="AE168"/>
  <c r="AE167"/>
  <c r="AE166"/>
  <c r="AE170"/>
  <c r="AD170"/>
  <c r="AD169"/>
  <c r="AD168"/>
  <c r="AD167"/>
  <c r="AD166"/>
  <c r="AC170"/>
  <c r="AC169"/>
  <c r="AC168"/>
  <c r="AC167"/>
  <c r="AC166"/>
  <c r="AC94"/>
  <c r="AD94"/>
  <c r="AD93"/>
  <c r="AC93"/>
  <c r="AD20"/>
  <c r="AC20"/>
  <c r="AD19"/>
  <c r="AC19"/>
  <c r="AC18"/>
  <c r="AD18"/>
  <c r="AD17"/>
  <c r="AC17"/>
  <c r="AD16"/>
  <c r="AC16"/>
  <c r="AD15"/>
  <c r="AC15"/>
  <c r="B85" i="7" l="1"/>
  <c r="L138"/>
  <c r="B136"/>
  <c r="B137"/>
  <c r="B138"/>
  <c r="B135"/>
  <c r="C17" i="6"/>
  <c r="B632" i="5" s="1"/>
  <c r="B131" i="7" s="1"/>
  <c r="D655" i="5"/>
  <c r="AE654"/>
  <c r="D654"/>
  <c r="E654" s="1"/>
  <c r="M142" i="7" s="1"/>
  <c r="AE653" i="5"/>
  <c r="D653"/>
  <c r="E653" s="1"/>
  <c r="M141" i="7" s="1"/>
  <c r="AE652" i="5"/>
  <c r="D652"/>
  <c r="E652" s="1"/>
  <c r="M140" i="7" s="1"/>
  <c r="AE651" i="5"/>
  <c r="D651"/>
  <c r="E651" s="1"/>
  <c r="M139" i="7" s="1"/>
  <c r="D650" i="5"/>
  <c r="E650" s="1"/>
  <c r="M138" i="7" s="1"/>
  <c r="AE649" i="5"/>
  <c r="D649"/>
  <c r="E649" s="1"/>
  <c r="M137" i="7" s="1"/>
  <c r="D648" i="5"/>
  <c r="E648" s="1"/>
  <c r="M136" i="7" s="1"/>
  <c r="AE647" i="5"/>
  <c r="D647"/>
  <c r="E647" s="1"/>
  <c r="M135" i="7" s="1"/>
  <c r="AE646" i="5"/>
  <c r="D646"/>
  <c r="E646" s="1"/>
  <c r="M134" i="7" s="1"/>
  <c r="AE645" i="5"/>
  <c r="D645"/>
  <c r="E645" s="1"/>
  <c r="M133" i="7" s="1"/>
  <c r="AE644" i="5"/>
  <c r="D644"/>
  <c r="E644" s="1"/>
  <c r="M132" i="7" s="1"/>
  <c r="AQ640" i="5"/>
  <c r="AO640"/>
  <c r="AM640"/>
  <c r="AK640"/>
  <c r="AI640"/>
  <c r="F640"/>
  <c r="G640" s="1"/>
  <c r="E138" i="7" s="1"/>
  <c r="D640" i="5"/>
  <c r="E640" s="1"/>
  <c r="D138" i="7" s="1"/>
  <c r="F639" i="5"/>
  <c r="G639" s="1"/>
  <c r="E137" i="7" s="1"/>
  <c r="D639" i="5"/>
  <c r="E639" s="1"/>
  <c r="D137" i="7" s="1"/>
  <c r="F638" i="5"/>
  <c r="G638" s="1"/>
  <c r="E136" i="7" s="1"/>
  <c r="D638" i="5"/>
  <c r="E638" s="1"/>
  <c r="D136" i="7" s="1"/>
  <c r="AQ637" i="5"/>
  <c r="AO637"/>
  <c r="AM637"/>
  <c r="AK637"/>
  <c r="AI637"/>
  <c r="F637"/>
  <c r="G637" s="1"/>
  <c r="E135" i="7" s="1"/>
  <c r="D637" i="5"/>
  <c r="E637" s="1"/>
  <c r="D135" i="7" s="1"/>
  <c r="AH635" i="5"/>
  <c r="AG635"/>
  <c r="AF635"/>
  <c r="AE635"/>
  <c r="D468" i="7" l="1"/>
  <c r="D2450" i="5"/>
  <c r="E2450" s="1"/>
  <c r="D449" i="7" s="1"/>
  <c r="AW2446" i="5"/>
  <c r="AV2446"/>
  <c r="AS2446"/>
  <c r="AT2446" s="1"/>
  <c r="AR2446"/>
  <c r="AO2446"/>
  <c r="AP2446" s="1"/>
  <c r="AN2446"/>
  <c r="T2446"/>
  <c r="U2446" s="1"/>
  <c r="L447" i="7" s="1"/>
  <c r="P2446" i="5"/>
  <c r="Q2446" s="1"/>
  <c r="J447" i="7" s="1"/>
  <c r="L2446" i="5"/>
  <c r="M2446" s="1"/>
  <c r="H2446"/>
  <c r="I2446" s="1"/>
  <c r="D2446"/>
  <c r="E2446" s="1"/>
  <c r="AW2445"/>
  <c r="AV2445"/>
  <c r="AS2445"/>
  <c r="AT2445" s="1"/>
  <c r="AR2445"/>
  <c r="AO2445"/>
  <c r="AP2445" s="1"/>
  <c r="AN2445"/>
  <c r="T2445"/>
  <c r="U2445" s="1"/>
  <c r="L446" i="7" s="1"/>
  <c r="P2445" i="5"/>
  <c r="Q2445" s="1"/>
  <c r="J446" i="7" s="1"/>
  <c r="L2445" i="5"/>
  <c r="M2445" s="1"/>
  <c r="H2445"/>
  <c r="I2445" s="1"/>
  <c r="D2445"/>
  <c r="E2445" s="1"/>
  <c r="AW2444"/>
  <c r="AV2444"/>
  <c r="AS2444"/>
  <c r="AT2444" s="1"/>
  <c r="AR2444"/>
  <c r="AO2444"/>
  <c r="AP2444" s="1"/>
  <c r="AN2444"/>
  <c r="T2444"/>
  <c r="U2444" s="1"/>
  <c r="L445" i="7" s="1"/>
  <c r="P2444" i="5"/>
  <c r="Q2444" s="1"/>
  <c r="J445" i="7" s="1"/>
  <c r="L2444" i="5"/>
  <c r="M2444" s="1"/>
  <c r="H2444"/>
  <c r="I2444" s="1"/>
  <c r="D2444"/>
  <c r="E2444" s="1"/>
  <c r="C45" i="6" l="1"/>
  <c r="B2469" i="5" s="1"/>
  <c r="B451" i="7" s="1"/>
  <c r="AU2481" i="5"/>
  <c r="AT2481"/>
  <c r="AQ2481"/>
  <c r="AR2481" s="1"/>
  <c r="AP2481"/>
  <c r="AM2481"/>
  <c r="AN2481" s="1"/>
  <c r="AL2481"/>
  <c r="L2481"/>
  <c r="M2481" s="1"/>
  <c r="H462" i="7" s="1"/>
  <c r="H2481" i="5"/>
  <c r="I2481" s="1"/>
  <c r="F462" i="7" s="1"/>
  <c r="D2481" i="5"/>
  <c r="E2481" s="1"/>
  <c r="D462" i="7" s="1"/>
  <c r="AU2480" i="5"/>
  <c r="AT2480"/>
  <c r="AQ2480"/>
  <c r="AR2480" s="1"/>
  <c r="AP2480"/>
  <c r="AM2480"/>
  <c r="AN2480" s="1"/>
  <c r="AL2480"/>
  <c r="L2480"/>
  <c r="M2480" s="1"/>
  <c r="H461" i="7" s="1"/>
  <c r="H2480" i="5"/>
  <c r="I2480" s="1"/>
  <c r="F461" i="7" s="1"/>
  <c r="D2480" i="5"/>
  <c r="E2480" s="1"/>
  <c r="D461" i="7" s="1"/>
  <c r="AU2479" i="5"/>
  <c r="AT2479"/>
  <c r="AQ2479"/>
  <c r="AR2479" s="1"/>
  <c r="AP2479"/>
  <c r="AM2479"/>
  <c r="AN2479" s="1"/>
  <c r="AL2479"/>
  <c r="L2479"/>
  <c r="M2479" s="1"/>
  <c r="H460" i="7" s="1"/>
  <c r="H2479" i="5"/>
  <c r="I2479" s="1"/>
  <c r="F460" i="7" s="1"/>
  <c r="D2479" i="5"/>
  <c r="E2479" s="1"/>
  <c r="D460" i="7" s="1"/>
  <c r="AU2478" i="5"/>
  <c r="AT2478"/>
  <c r="AQ2478"/>
  <c r="AR2478" s="1"/>
  <c r="AP2478"/>
  <c r="AM2478"/>
  <c r="AN2478" s="1"/>
  <c r="AL2478"/>
  <c r="L2478"/>
  <c r="M2478" s="1"/>
  <c r="H459" i="7" s="1"/>
  <c r="H2478" i="5"/>
  <c r="I2478" s="1"/>
  <c r="F459" i="7" s="1"/>
  <c r="D2478" i="5"/>
  <c r="E2478" s="1"/>
  <c r="D459" i="7" s="1"/>
  <c r="AU2477" i="5"/>
  <c r="AT2477"/>
  <c r="AQ2477"/>
  <c r="AR2477" s="1"/>
  <c r="AP2477"/>
  <c r="AM2477"/>
  <c r="AN2477" s="1"/>
  <c r="AL2477"/>
  <c r="L2477"/>
  <c r="M2477" s="1"/>
  <c r="H458" i="7" s="1"/>
  <c r="H2477" i="5"/>
  <c r="I2477" s="1"/>
  <c r="F458" i="7" s="1"/>
  <c r="D2477" i="5"/>
  <c r="E2477" s="1"/>
  <c r="D458" i="7" s="1"/>
  <c r="AU2476" i="5"/>
  <c r="AT2476"/>
  <c r="AQ2476"/>
  <c r="AR2476" s="1"/>
  <c r="AP2476"/>
  <c r="AM2476"/>
  <c r="AN2476" s="1"/>
  <c r="AL2476"/>
  <c r="L2476"/>
  <c r="M2476" s="1"/>
  <c r="H457" i="7" s="1"/>
  <c r="H2476" i="5"/>
  <c r="I2476" s="1"/>
  <c r="F457" i="7" s="1"/>
  <c r="D2476" i="5"/>
  <c r="E2476" s="1"/>
  <c r="D457" i="7" s="1"/>
  <c r="AU2475" i="5"/>
  <c r="AT2475"/>
  <c r="AQ2475"/>
  <c r="AR2475" s="1"/>
  <c r="AP2475"/>
  <c r="AM2475"/>
  <c r="AN2475" s="1"/>
  <c r="AL2475"/>
  <c r="L2475"/>
  <c r="M2475" s="1"/>
  <c r="H456" i="7" s="1"/>
  <c r="H2475" i="5"/>
  <c r="I2475" s="1"/>
  <c r="F456" i="7" s="1"/>
  <c r="D2475" i="5"/>
  <c r="E2475" s="1"/>
  <c r="D456" i="7" s="1"/>
  <c r="AU2474" i="5"/>
  <c r="AT2474"/>
  <c r="AQ2474"/>
  <c r="AR2474" s="1"/>
  <c r="AP2474"/>
  <c r="AM2474"/>
  <c r="AN2474" s="1"/>
  <c r="AL2474"/>
  <c r="L2474"/>
  <c r="M2474" s="1"/>
  <c r="H455" i="7" s="1"/>
  <c r="H2474" i="5"/>
  <c r="I2474" s="1"/>
  <c r="F455" i="7" s="1"/>
  <c r="D2474" i="5"/>
  <c r="E2474" s="1"/>
  <c r="D455" i="7" s="1"/>
  <c r="AU2473" i="5"/>
  <c r="AT2473"/>
  <c r="AQ2473"/>
  <c r="AR2473" s="1"/>
  <c r="AP2473"/>
  <c r="AM2473"/>
  <c r="AN2473" s="1"/>
  <c r="AL2473"/>
  <c r="L2473"/>
  <c r="M2473" s="1"/>
  <c r="H454" i="7" s="1"/>
  <c r="H2473" i="5"/>
  <c r="I2473" s="1"/>
  <c r="F454" i="7" s="1"/>
  <c r="D2473" i="5"/>
  <c r="E2473" s="1"/>
  <c r="D454" i="7" s="1"/>
  <c r="C1" i="5" l="1"/>
  <c r="D918"/>
  <c r="E918" s="1"/>
  <c r="M192" i="7" s="1"/>
  <c r="D1751" i="5"/>
  <c r="E1751" s="1"/>
  <c r="M306" i="7" s="1"/>
  <c r="D1220" i="5"/>
  <c r="E1220" s="1"/>
  <c r="M250" i="7" s="1"/>
  <c r="D104" i="5"/>
  <c r="E104" s="1"/>
  <c r="M32" i="7" s="1"/>
  <c r="D29" i="5"/>
  <c r="E29" s="1"/>
  <c r="M14" i="7" s="1"/>
  <c r="D179" i="5"/>
  <c r="E179" s="1"/>
  <c r="M46" i="7" s="1"/>
  <c r="D181" i="5"/>
  <c r="E181" s="1"/>
  <c r="M48" i="7" s="1"/>
  <c r="D180" i="5"/>
  <c r="L331" i="7"/>
  <c r="L319"/>
  <c r="L306"/>
  <c r="L293"/>
  <c r="L279"/>
  <c r="L265"/>
  <c r="L250"/>
  <c r="L235"/>
  <c r="L220"/>
  <c r="L206"/>
  <c r="L192"/>
  <c r="L178"/>
  <c r="L165"/>
  <c r="L151"/>
  <c r="L125"/>
  <c r="L78"/>
  <c r="L64"/>
  <c r="D1902" i="5"/>
  <c r="E1902" s="1"/>
  <c r="M329" i="7" s="1"/>
  <c r="D1826" i="5"/>
  <c r="E1826" s="1"/>
  <c r="M317" i="7" s="1"/>
  <c r="D1749" i="5"/>
  <c r="E1749" s="1"/>
  <c r="M304" i="7" s="1"/>
  <c r="D1535" i="5"/>
  <c r="E1535" s="1"/>
  <c r="M291" i="7" s="1"/>
  <c r="D1461" i="5"/>
  <c r="E1461" s="1"/>
  <c r="M277" i="7" s="1"/>
  <c r="D1342" i="5"/>
  <c r="E1342" s="1"/>
  <c r="M263" i="7" s="1"/>
  <c r="D1218" i="5"/>
  <c r="E1218" s="1"/>
  <c r="M248" i="7" s="1"/>
  <c r="D1140" i="5"/>
  <c r="E1140" s="1"/>
  <c r="M233" i="7" s="1"/>
  <c r="D1062" i="5"/>
  <c r="E1062" s="1"/>
  <c r="M218" i="7" s="1"/>
  <c r="D989" i="5"/>
  <c r="E989" s="1"/>
  <c r="M204" i="7" s="1"/>
  <c r="D916" i="5"/>
  <c r="E916" s="1"/>
  <c r="M190" i="7" s="1"/>
  <c r="D843" i="5"/>
  <c r="E843" s="1"/>
  <c r="M176" i="7" s="1"/>
  <c r="D771" i="5"/>
  <c r="E771" s="1"/>
  <c r="M163" i="7" s="1"/>
  <c r="D697" i="5"/>
  <c r="E697" s="1"/>
  <c r="M149" i="7" s="1"/>
  <c r="D599" i="5"/>
  <c r="E599" s="1"/>
  <c r="M123" i="7" s="1"/>
  <c r="D377" i="5"/>
  <c r="E377" s="1"/>
  <c r="M76" i="7" s="1"/>
  <c r="D305" i="5"/>
  <c r="E305" s="1"/>
  <c r="M62" i="7" s="1"/>
  <c r="D102" i="5"/>
  <c r="E102" s="1"/>
  <c r="M30" i="7" s="1"/>
  <c r="B123"/>
  <c r="B124"/>
  <c r="B125"/>
  <c r="B126"/>
  <c r="B122"/>
  <c r="F589" i="5"/>
  <c r="G589" s="1"/>
  <c r="E124" i="7" s="1"/>
  <c r="F590" i="5"/>
  <c r="G590" s="1"/>
  <c r="E125" i="7" s="1"/>
  <c r="D589" i="5"/>
  <c r="E589" s="1"/>
  <c r="D124" i="7" s="1"/>
  <c r="D590" i="5"/>
  <c r="E590" s="1"/>
  <c r="D125" i="7" s="1"/>
  <c r="D1904" i="5"/>
  <c r="E1904" s="1"/>
  <c r="M331" i="7" s="1"/>
  <c r="D1828" i="5"/>
  <c r="E1828" s="1"/>
  <c r="M319" i="7" s="1"/>
  <c r="D1537" i="5"/>
  <c r="E1537" s="1"/>
  <c r="M293" i="7" s="1"/>
  <c r="D1463" i="5"/>
  <c r="E1463" s="1"/>
  <c r="M279" i="7" s="1"/>
  <c r="D1344" i="5"/>
  <c r="E1344" s="1"/>
  <c r="M265" i="7" s="1"/>
  <c r="D1142" i="5"/>
  <c r="E1142" s="1"/>
  <c r="M235" i="7" s="1"/>
  <c r="D1064" i="5"/>
  <c r="E1064" s="1"/>
  <c r="M220" i="7" s="1"/>
  <c r="D991" i="5"/>
  <c r="E991" s="1"/>
  <c r="M206" i="7" s="1"/>
  <c r="D845" i="5"/>
  <c r="E845" s="1"/>
  <c r="M178" i="7" s="1"/>
  <c r="D773" i="5"/>
  <c r="E773" s="1"/>
  <c r="M165" i="7" s="1"/>
  <c r="D699" i="5"/>
  <c r="E699" s="1"/>
  <c r="M151" i="7" s="1"/>
  <c r="D601" i="5"/>
  <c r="E601" s="1"/>
  <c r="M125" i="7" s="1"/>
  <c r="D379" i="5"/>
  <c r="E379" s="1"/>
  <c r="M78" i="7" s="1"/>
  <c r="D307" i="5"/>
  <c r="E307" s="1"/>
  <c r="M64" i="7" s="1"/>
  <c r="AE31" i="5"/>
  <c r="D31"/>
  <c r="E31" s="1"/>
  <c r="M16" i="7" s="1"/>
  <c r="C16" i="6"/>
  <c r="B582" i="5" s="1"/>
  <c r="B118" i="7" s="1"/>
  <c r="D606" i="5"/>
  <c r="AE605"/>
  <c r="D605"/>
  <c r="E605" s="1"/>
  <c r="M129" i="7" s="1"/>
  <c r="AE604" i="5"/>
  <c r="D604"/>
  <c r="E604" s="1"/>
  <c r="M128" i="7" s="1"/>
  <c r="AE603" i="5"/>
  <c r="D603"/>
  <c r="E603" s="1"/>
  <c r="M127" i="7" s="1"/>
  <c r="AE602" i="5"/>
  <c r="D602"/>
  <c r="E602" s="1"/>
  <c r="M126" i="7" s="1"/>
  <c r="AE600" i="5"/>
  <c r="D600"/>
  <c r="E600" s="1"/>
  <c r="M124" i="7" s="1"/>
  <c r="AE598" i="5"/>
  <c r="D598"/>
  <c r="E598" s="1"/>
  <c r="M122" i="7" s="1"/>
  <c r="AE597" i="5"/>
  <c r="D597"/>
  <c r="E597" s="1"/>
  <c r="M121" i="7" s="1"/>
  <c r="AE596" i="5"/>
  <c r="D596"/>
  <c r="E596" s="1"/>
  <c r="M120" i="7" s="1"/>
  <c r="AE595" i="5"/>
  <c r="D595"/>
  <c r="E595" s="1"/>
  <c r="M119" i="7" s="1"/>
  <c r="AQ591" i="5"/>
  <c r="AO591"/>
  <c r="AM591"/>
  <c r="AK591"/>
  <c r="AI591"/>
  <c r="F591"/>
  <c r="G591" s="1"/>
  <c r="E126" i="7" s="1"/>
  <c r="D591" i="5"/>
  <c r="E591" s="1"/>
  <c r="D126" i="7" s="1"/>
  <c r="AQ588" i="5"/>
  <c r="AO588"/>
  <c r="AM588"/>
  <c r="AK588"/>
  <c r="AI588"/>
  <c r="F588"/>
  <c r="G588" s="1"/>
  <c r="E123" i="7" s="1"/>
  <c r="D588" i="5"/>
  <c r="E588" s="1"/>
  <c r="D123" i="7" s="1"/>
  <c r="AQ587" i="5"/>
  <c r="AO587"/>
  <c r="AM587"/>
  <c r="AK587"/>
  <c r="AI587"/>
  <c r="F587"/>
  <c r="G587" s="1"/>
  <c r="E122" i="7" s="1"/>
  <c r="D587" i="5"/>
  <c r="E587" s="1"/>
  <c r="D122" i="7" s="1"/>
  <c r="AH585" i="5"/>
  <c r="AG585"/>
  <c r="AF585"/>
  <c r="AE585"/>
  <c r="C18" i="6"/>
  <c r="B682" i="5" s="1"/>
  <c r="D987"/>
  <c r="E987" s="1"/>
  <c r="M202" i="7" s="1"/>
  <c r="D1459" i="5"/>
  <c r="E1459" s="1"/>
  <c r="M275" i="7" s="1"/>
  <c r="D1533" i="5"/>
  <c r="E1533" s="1"/>
  <c r="M289" i="7" s="1"/>
  <c r="D1060" i="5"/>
  <c r="E1060" s="1"/>
  <c r="M216" i="7" s="1"/>
  <c r="D1138" i="5"/>
  <c r="E1138" s="1"/>
  <c r="M231" i="7" s="1"/>
  <c r="D1216" i="5"/>
  <c r="E1216" s="1"/>
  <c r="M246" i="7" s="1"/>
  <c r="D2041" i="5"/>
  <c r="E2041" s="1"/>
  <c r="M349" i="7" s="1"/>
  <c r="D1340" i="5"/>
  <c r="E1340" s="1"/>
  <c r="M261" i="7" s="1"/>
  <c r="D914" i="5"/>
  <c r="E914" s="1"/>
  <c r="M188" i="7" s="1"/>
  <c r="D769" i="5"/>
  <c r="E769" s="1"/>
  <c r="M161" i="7" s="1"/>
  <c r="AO2292" i="5"/>
  <c r="AP2292" s="1"/>
  <c r="AO2293"/>
  <c r="AO2294"/>
  <c r="AP2294" s="1"/>
  <c r="AO2295"/>
  <c r="AP2295" s="1"/>
  <c r="AO2296"/>
  <c r="AP2296" s="1"/>
  <c r="AO2297"/>
  <c r="AP2297" s="1"/>
  <c r="AO2298"/>
  <c r="AP2298" s="1"/>
  <c r="AO2299"/>
  <c r="AP2299" s="1"/>
  <c r="AO2300"/>
  <c r="AP2300" s="1"/>
  <c r="AO2291"/>
  <c r="AP2291" s="1"/>
  <c r="AI1524"/>
  <c r="AQ2640"/>
  <c r="AO2640"/>
  <c r="AM2640"/>
  <c r="AK2640"/>
  <c r="AI2640"/>
  <c r="AE2715"/>
  <c r="AE2716"/>
  <c r="AE2717"/>
  <c r="AE2718"/>
  <c r="AE2714"/>
  <c r="AE2656"/>
  <c r="AE2657"/>
  <c r="AE2658"/>
  <c r="AE2659"/>
  <c r="AE2660"/>
  <c r="AE2655"/>
  <c r="AD2662"/>
  <c r="AE2662" s="1"/>
  <c r="AQ2643"/>
  <c r="AQ2644"/>
  <c r="AQ2645"/>
  <c r="AQ2646"/>
  <c r="AQ2647"/>
  <c r="AQ2648"/>
  <c r="AQ2649"/>
  <c r="AQ2650"/>
  <c r="AQ2651"/>
  <c r="AQ2642"/>
  <c r="AO2643"/>
  <c r="AO2644"/>
  <c r="AO2645"/>
  <c r="AO2646"/>
  <c r="AO2647"/>
  <c r="AO2648"/>
  <c r="AO2649"/>
  <c r="AO2650"/>
  <c r="AO2651"/>
  <c r="AO2642"/>
  <c r="AM2643"/>
  <c r="AM2644"/>
  <c r="AM2645"/>
  <c r="AM2646"/>
  <c r="AM2647"/>
  <c r="AM2648"/>
  <c r="AM2649"/>
  <c r="AM2650"/>
  <c r="AM2651"/>
  <c r="AM2642"/>
  <c r="AK2643"/>
  <c r="AK2644"/>
  <c r="AK2645"/>
  <c r="AK2646"/>
  <c r="AK2647"/>
  <c r="AK2648"/>
  <c r="AK2649"/>
  <c r="AK2650"/>
  <c r="AK2651"/>
  <c r="AK2642"/>
  <c r="AI2643"/>
  <c r="AI2644"/>
  <c r="AI2645"/>
  <c r="AI2646"/>
  <c r="AI2647"/>
  <c r="AI2648"/>
  <c r="AI2649"/>
  <c r="AI2650"/>
  <c r="AI2651"/>
  <c r="AI2642"/>
  <c r="AQ2582"/>
  <c r="AQ2581"/>
  <c r="AO2582"/>
  <c r="AO2581"/>
  <c r="AM2582"/>
  <c r="AM2581"/>
  <c r="AK2582"/>
  <c r="AK2581"/>
  <c r="AI2582"/>
  <c r="AI2581"/>
  <c r="AW2603"/>
  <c r="AU2603"/>
  <c r="AV2603" s="1"/>
  <c r="AS2603"/>
  <c r="AT2603" s="1"/>
  <c r="AQ2603"/>
  <c r="AR2603" s="1"/>
  <c r="AO2603"/>
  <c r="AP2603" s="1"/>
  <c r="AM2603"/>
  <c r="AN2603" s="1"/>
  <c r="AK2603"/>
  <c r="AL2603" s="1"/>
  <c r="AI2603"/>
  <c r="AJ2603" s="1"/>
  <c r="AG2603"/>
  <c r="AH2603" s="1"/>
  <c r="AW2602"/>
  <c r="AU2602"/>
  <c r="AV2602" s="1"/>
  <c r="AS2602"/>
  <c r="AT2602" s="1"/>
  <c r="AQ2602"/>
  <c r="AR2602" s="1"/>
  <c r="AO2602"/>
  <c r="AP2602" s="1"/>
  <c r="AM2602"/>
  <c r="AN2602" s="1"/>
  <c r="AK2602"/>
  <c r="AL2602" s="1"/>
  <c r="AI2602"/>
  <c r="AJ2602" s="1"/>
  <c r="AG2602"/>
  <c r="AH2602" s="1"/>
  <c r="AW2601"/>
  <c r="AU2601"/>
  <c r="AV2601" s="1"/>
  <c r="AS2601"/>
  <c r="AT2601" s="1"/>
  <c r="AQ2601"/>
  <c r="AR2601" s="1"/>
  <c r="AO2601"/>
  <c r="AP2601" s="1"/>
  <c r="AM2601"/>
  <c r="AN2601" s="1"/>
  <c r="AK2601"/>
  <c r="AL2601" s="1"/>
  <c r="AI2601"/>
  <c r="AJ2601" s="1"/>
  <c r="AG2601"/>
  <c r="AH2601" s="1"/>
  <c r="AW2600"/>
  <c r="AU2600"/>
  <c r="AV2600" s="1"/>
  <c r="AS2600"/>
  <c r="AT2600" s="1"/>
  <c r="AQ2600"/>
  <c r="AR2600" s="1"/>
  <c r="AO2600"/>
  <c r="AP2600" s="1"/>
  <c r="AM2600"/>
  <c r="AN2600" s="1"/>
  <c r="AK2600"/>
  <c r="AL2600" s="1"/>
  <c r="AI2600"/>
  <c r="AJ2600" s="1"/>
  <c r="AG2600"/>
  <c r="AH2600" s="1"/>
  <c r="AW2599"/>
  <c r="AU2599"/>
  <c r="AV2599" s="1"/>
  <c r="AS2599"/>
  <c r="AT2599" s="1"/>
  <c r="AQ2599"/>
  <c r="AR2599" s="1"/>
  <c r="AO2599"/>
  <c r="AP2599" s="1"/>
  <c r="AM2599"/>
  <c r="AN2599" s="1"/>
  <c r="AK2599"/>
  <c r="AL2599" s="1"/>
  <c r="AI2599"/>
  <c r="AJ2599" s="1"/>
  <c r="AG2599"/>
  <c r="AH2599" s="1"/>
  <c r="AW2598"/>
  <c r="AU2598"/>
  <c r="AV2598" s="1"/>
  <c r="AS2598"/>
  <c r="AT2598" s="1"/>
  <c r="AQ2598"/>
  <c r="AR2598" s="1"/>
  <c r="AO2598"/>
  <c r="AP2598" s="1"/>
  <c r="AM2598"/>
  <c r="AN2598" s="1"/>
  <c r="AK2598"/>
  <c r="AL2598" s="1"/>
  <c r="AI2598"/>
  <c r="AJ2598" s="1"/>
  <c r="AG2598"/>
  <c r="AH2598" s="1"/>
  <c r="AW2597"/>
  <c r="AU2597"/>
  <c r="AV2597" s="1"/>
  <c r="AS2597"/>
  <c r="AT2597" s="1"/>
  <c r="AQ2597"/>
  <c r="AR2597" s="1"/>
  <c r="AO2597"/>
  <c r="AP2597" s="1"/>
  <c r="AM2597"/>
  <c r="AN2597" s="1"/>
  <c r="AK2597"/>
  <c r="AL2597" s="1"/>
  <c r="AI2597"/>
  <c r="AJ2597" s="1"/>
  <c r="AG2597"/>
  <c r="AH2597" s="1"/>
  <c r="AW2596"/>
  <c r="AU2596"/>
  <c r="AV2596" s="1"/>
  <c r="AS2596"/>
  <c r="AT2596" s="1"/>
  <c r="AQ2596"/>
  <c r="AR2596" s="1"/>
  <c r="AO2596"/>
  <c r="AP2596" s="1"/>
  <c r="AM2596"/>
  <c r="AN2596" s="1"/>
  <c r="AK2596"/>
  <c r="AL2596" s="1"/>
  <c r="AI2596"/>
  <c r="AJ2596" s="1"/>
  <c r="AG2596"/>
  <c r="AH2596" s="1"/>
  <c r="AW2595"/>
  <c r="AU2595"/>
  <c r="AV2595" s="1"/>
  <c r="AS2595"/>
  <c r="AT2595" s="1"/>
  <c r="AQ2595"/>
  <c r="AR2595" s="1"/>
  <c r="AO2595"/>
  <c r="AP2595" s="1"/>
  <c r="AM2595"/>
  <c r="AN2595" s="1"/>
  <c r="AK2595"/>
  <c r="AL2595" s="1"/>
  <c r="AI2595"/>
  <c r="AJ2595" s="1"/>
  <c r="AG2595"/>
  <c r="AH2595" s="1"/>
  <c r="AW2594"/>
  <c r="AU2594"/>
  <c r="AV2594" s="1"/>
  <c r="AS2594"/>
  <c r="AT2594" s="1"/>
  <c r="AQ2594"/>
  <c r="AR2594" s="1"/>
  <c r="AO2594"/>
  <c r="AP2594" s="1"/>
  <c r="AM2594"/>
  <c r="AN2594" s="1"/>
  <c r="AK2594"/>
  <c r="AL2594" s="1"/>
  <c r="AI2594"/>
  <c r="AJ2594" s="1"/>
  <c r="AG2594"/>
  <c r="AH2594" s="1"/>
  <c r="AW2487"/>
  <c r="AV2487"/>
  <c r="AS2487"/>
  <c r="AT2487" s="1"/>
  <c r="AR2487"/>
  <c r="AO2487"/>
  <c r="AP2487" s="1"/>
  <c r="AN2487"/>
  <c r="AW2486"/>
  <c r="AV2486"/>
  <c r="AS2486"/>
  <c r="AT2486" s="1"/>
  <c r="AR2486"/>
  <c r="AO2486"/>
  <c r="AP2486" s="1"/>
  <c r="AN2486"/>
  <c r="AW2485"/>
  <c r="AV2485"/>
  <c r="AS2485"/>
  <c r="AT2485" s="1"/>
  <c r="AR2485"/>
  <c r="AO2485"/>
  <c r="AP2485" s="1"/>
  <c r="AN2485"/>
  <c r="AW2440"/>
  <c r="AV2440"/>
  <c r="AS2440"/>
  <c r="AT2440" s="1"/>
  <c r="AR2440"/>
  <c r="AO2440"/>
  <c r="AP2440" s="1"/>
  <c r="AN2440"/>
  <c r="AW2439"/>
  <c r="AV2439"/>
  <c r="AS2439"/>
  <c r="AT2439" s="1"/>
  <c r="AR2439"/>
  <c r="AO2439"/>
  <c r="AP2439" s="1"/>
  <c r="AN2439"/>
  <c r="AW2438"/>
  <c r="AV2438"/>
  <c r="AS2438"/>
  <c r="AT2438" s="1"/>
  <c r="AR2438"/>
  <c r="AO2438"/>
  <c r="AP2438" s="1"/>
  <c r="AN2438"/>
  <c r="AW2437"/>
  <c r="AV2437"/>
  <c r="AS2437"/>
  <c r="AT2437" s="1"/>
  <c r="AR2437"/>
  <c r="AO2437"/>
  <c r="AP2437" s="1"/>
  <c r="AN2437"/>
  <c r="AW2436"/>
  <c r="AV2436"/>
  <c r="AS2436"/>
  <c r="AT2436" s="1"/>
  <c r="AR2436"/>
  <c r="AO2436"/>
  <c r="AP2436" s="1"/>
  <c r="AN2436"/>
  <c r="AW2435"/>
  <c r="AV2435"/>
  <c r="AS2435"/>
  <c r="AT2435" s="1"/>
  <c r="AR2435"/>
  <c r="AO2435"/>
  <c r="AP2435" s="1"/>
  <c r="AN2435"/>
  <c r="AW2434"/>
  <c r="AV2434"/>
  <c r="AS2434"/>
  <c r="AT2434" s="1"/>
  <c r="AR2434"/>
  <c r="AO2434"/>
  <c r="AP2434" s="1"/>
  <c r="AN2434"/>
  <c r="AW2433"/>
  <c r="AV2433"/>
  <c r="AS2433"/>
  <c r="AT2433" s="1"/>
  <c r="AR2433"/>
  <c r="AO2433"/>
  <c r="AP2433" s="1"/>
  <c r="AN2433"/>
  <c r="AW2432"/>
  <c r="AV2432"/>
  <c r="AS2432"/>
  <c r="AT2432" s="1"/>
  <c r="AR2432"/>
  <c r="AO2432"/>
  <c r="AP2432" s="1"/>
  <c r="AN2432"/>
  <c r="AW2431"/>
  <c r="AV2431"/>
  <c r="AS2431"/>
  <c r="AT2431" s="1"/>
  <c r="AR2431"/>
  <c r="AO2431"/>
  <c r="AP2431" s="1"/>
  <c r="AN2431"/>
  <c r="AV2372"/>
  <c r="AT2372"/>
  <c r="AR2372"/>
  <c r="AP2372"/>
  <c r="AN2372"/>
  <c r="AV2371"/>
  <c r="AT2371"/>
  <c r="AR2371"/>
  <c r="AP2371"/>
  <c r="AN2371"/>
  <c r="AV2370"/>
  <c r="AT2370"/>
  <c r="AR2370"/>
  <c r="AP2370"/>
  <c r="AN2370"/>
  <c r="AV2369"/>
  <c r="AT2369"/>
  <c r="AR2369"/>
  <c r="AP2369"/>
  <c r="AN2369"/>
  <c r="AV2368"/>
  <c r="AT2368"/>
  <c r="AR2368"/>
  <c r="AP2368"/>
  <c r="AN2368"/>
  <c r="AV2367"/>
  <c r="AT2367"/>
  <c r="AR2367"/>
  <c r="AP2367"/>
  <c r="AN2367"/>
  <c r="AV2366"/>
  <c r="AT2366"/>
  <c r="AR2366"/>
  <c r="AP2366"/>
  <c r="AN2366"/>
  <c r="AV2365"/>
  <c r="AT2365"/>
  <c r="AR2365"/>
  <c r="AP2365"/>
  <c r="AN2365"/>
  <c r="AV2364"/>
  <c r="AT2364"/>
  <c r="AR2364"/>
  <c r="AP2364"/>
  <c r="AN2364"/>
  <c r="AV2363"/>
  <c r="AT2363"/>
  <c r="AR2363"/>
  <c r="AP2363"/>
  <c r="AN2363"/>
  <c r="AW2325"/>
  <c r="AU2325"/>
  <c r="AV2325" s="1"/>
  <c r="AS2325"/>
  <c r="AT2325" s="1"/>
  <c r="AQ2325"/>
  <c r="AR2325" s="1"/>
  <c r="AO2325"/>
  <c r="AP2325" s="1"/>
  <c r="AM2325"/>
  <c r="AN2325" s="1"/>
  <c r="AW2324"/>
  <c r="AU2324"/>
  <c r="AV2324" s="1"/>
  <c r="AS2324"/>
  <c r="AT2324" s="1"/>
  <c r="AQ2324"/>
  <c r="AR2324" s="1"/>
  <c r="AO2324"/>
  <c r="AP2324" s="1"/>
  <c r="AM2324"/>
  <c r="AN2324" s="1"/>
  <c r="AW2323"/>
  <c r="AU2323"/>
  <c r="AV2323" s="1"/>
  <c r="AS2323"/>
  <c r="AT2323" s="1"/>
  <c r="AQ2323"/>
  <c r="AR2323" s="1"/>
  <c r="AO2323"/>
  <c r="AP2323" s="1"/>
  <c r="AM2323"/>
  <c r="AN2323" s="1"/>
  <c r="AW2322"/>
  <c r="AU2322"/>
  <c r="AV2322" s="1"/>
  <c r="AS2322"/>
  <c r="AT2322" s="1"/>
  <c r="AQ2322"/>
  <c r="AR2322" s="1"/>
  <c r="AO2322"/>
  <c r="AP2322" s="1"/>
  <c r="AM2322"/>
  <c r="AN2322" s="1"/>
  <c r="AW2321"/>
  <c r="AU2321"/>
  <c r="AV2321" s="1"/>
  <c r="AS2321"/>
  <c r="AT2321" s="1"/>
  <c r="AQ2321"/>
  <c r="AR2321" s="1"/>
  <c r="AO2321"/>
  <c r="AP2321" s="1"/>
  <c r="AM2321"/>
  <c r="AN2321" s="1"/>
  <c r="AW2320"/>
  <c r="AU2320"/>
  <c r="AV2320" s="1"/>
  <c r="AS2320"/>
  <c r="AT2320" s="1"/>
  <c r="AQ2320"/>
  <c r="AR2320" s="1"/>
  <c r="AO2320"/>
  <c r="AP2320" s="1"/>
  <c r="AM2320"/>
  <c r="AN2320" s="1"/>
  <c r="AW2319"/>
  <c r="AU2319"/>
  <c r="AV2319" s="1"/>
  <c r="AS2319"/>
  <c r="AT2319" s="1"/>
  <c r="AQ2319"/>
  <c r="AR2319" s="1"/>
  <c r="AO2319"/>
  <c r="AP2319" s="1"/>
  <c r="AM2319"/>
  <c r="AN2319" s="1"/>
  <c r="AW2318"/>
  <c r="AU2318"/>
  <c r="AV2318" s="1"/>
  <c r="AS2318"/>
  <c r="AT2318" s="1"/>
  <c r="AQ2318"/>
  <c r="AR2318" s="1"/>
  <c r="AO2318"/>
  <c r="AP2318" s="1"/>
  <c r="AM2318"/>
  <c r="AN2318" s="1"/>
  <c r="AW2317"/>
  <c r="AU2317"/>
  <c r="AV2317" s="1"/>
  <c r="AS2317"/>
  <c r="AT2317" s="1"/>
  <c r="AQ2317"/>
  <c r="AR2317" s="1"/>
  <c r="AO2317"/>
  <c r="AP2317" s="1"/>
  <c r="AM2317"/>
  <c r="AN2317" s="1"/>
  <c r="AW2316"/>
  <c r="AU2316"/>
  <c r="AV2316" s="1"/>
  <c r="AS2316"/>
  <c r="AT2316" s="1"/>
  <c r="AQ2316"/>
  <c r="AR2316" s="1"/>
  <c r="AO2316"/>
  <c r="AP2316" s="1"/>
  <c r="AM2316"/>
  <c r="AN2316" s="1"/>
  <c r="AV2304"/>
  <c r="AT2304"/>
  <c r="AR2304"/>
  <c r="AP2304"/>
  <c r="AN2304"/>
  <c r="AV2303"/>
  <c r="AT2303"/>
  <c r="AR2303"/>
  <c r="AP2303"/>
  <c r="AN2303"/>
  <c r="AV2302"/>
  <c r="AT2302"/>
  <c r="AR2302"/>
  <c r="AP2302"/>
  <c r="AN2302"/>
  <c r="AV2292"/>
  <c r="AV2293"/>
  <c r="AV2294"/>
  <c r="AV2295"/>
  <c r="AV2296"/>
  <c r="AV2297"/>
  <c r="AV2298"/>
  <c r="AV2299"/>
  <c r="AV2300"/>
  <c r="AV2291"/>
  <c r="AT2292"/>
  <c r="AT2293"/>
  <c r="AT2294"/>
  <c r="AT2295"/>
  <c r="AT2296"/>
  <c r="AT2297"/>
  <c r="AT2298"/>
  <c r="AT2299"/>
  <c r="AT2300"/>
  <c r="AT2291"/>
  <c r="AR2292"/>
  <c r="AR2293"/>
  <c r="AR2294"/>
  <c r="AR2295"/>
  <c r="AR2296"/>
  <c r="AR2297"/>
  <c r="AR2298"/>
  <c r="AR2299"/>
  <c r="AR2300"/>
  <c r="AR2291"/>
  <c r="AP2293"/>
  <c r="AN2292"/>
  <c r="AN2293"/>
  <c r="AN2294"/>
  <c r="AN2295"/>
  <c r="AN2296"/>
  <c r="AN2297"/>
  <c r="AN2298"/>
  <c r="AN2299"/>
  <c r="AN2300"/>
  <c r="AN2291"/>
  <c r="AE2236"/>
  <c r="AE2235"/>
  <c r="AP2231"/>
  <c r="AN2231"/>
  <c r="AV2231"/>
  <c r="AT2231"/>
  <c r="AR2231"/>
  <c r="AP2229"/>
  <c r="AV2230"/>
  <c r="AT2230"/>
  <c r="AR2230"/>
  <c r="AP2230"/>
  <c r="AN2230"/>
  <c r="AV2229"/>
  <c r="AT2229"/>
  <c r="AR2229"/>
  <c r="AN2229"/>
  <c r="AP2226"/>
  <c r="AV2227"/>
  <c r="AT2227"/>
  <c r="AR2227"/>
  <c r="AP2227"/>
  <c r="AN2227"/>
  <c r="AV2226"/>
  <c r="AT2226"/>
  <c r="AR2226"/>
  <c r="AN2226"/>
  <c r="AV2224"/>
  <c r="AV2223"/>
  <c r="AT2224"/>
  <c r="AT2223"/>
  <c r="AR2224"/>
  <c r="AR2223"/>
  <c r="AP2224"/>
  <c r="AP2223"/>
  <c r="AN2223"/>
  <c r="AN2224"/>
  <c r="AK2164"/>
  <c r="AQ2164"/>
  <c r="AM2164"/>
  <c r="AO2164"/>
  <c r="AI2164"/>
  <c r="AE2105"/>
  <c r="AE2106"/>
  <c r="AE2107"/>
  <c r="AE2108"/>
  <c r="AE2109"/>
  <c r="AE2104"/>
  <c r="AK2100"/>
  <c r="AK2099"/>
  <c r="AI2100"/>
  <c r="AI2099"/>
  <c r="AG2100"/>
  <c r="AG2099"/>
  <c r="AE2092"/>
  <c r="AF2092" s="1"/>
  <c r="AE2042"/>
  <c r="AE2043"/>
  <c r="AE2040"/>
  <c r="AQ2033"/>
  <c r="AQ2034"/>
  <c r="AQ2035"/>
  <c r="AQ2036"/>
  <c r="AQ2032"/>
  <c r="AO2033"/>
  <c r="AO2034"/>
  <c r="AO2035"/>
  <c r="AO2036"/>
  <c r="AO2032"/>
  <c r="AM2033"/>
  <c r="AM2034"/>
  <c r="AM2035"/>
  <c r="AM2036"/>
  <c r="AM2032"/>
  <c r="AK2033"/>
  <c r="AK2034"/>
  <c r="AK2035"/>
  <c r="AK2036"/>
  <c r="AK2032"/>
  <c r="AI2033"/>
  <c r="AI2034"/>
  <c r="AI2035"/>
  <c r="AI2036"/>
  <c r="AI2032"/>
  <c r="AE1973"/>
  <c r="AE1974"/>
  <c r="AE1975"/>
  <c r="AE1976"/>
  <c r="AE1977"/>
  <c r="AE1972"/>
  <c r="AE1959"/>
  <c r="AF1959" s="1"/>
  <c r="AE1965"/>
  <c r="AE1966"/>
  <c r="AE1967"/>
  <c r="AE1968"/>
  <c r="AE1964"/>
  <c r="AE1900"/>
  <c r="AE1903"/>
  <c r="AE1906"/>
  <c r="AE1901"/>
  <c r="AE1905"/>
  <c r="AE1907"/>
  <c r="AE1899"/>
  <c r="AN1890"/>
  <c r="AN1891"/>
  <c r="AN1892"/>
  <c r="AN1893"/>
  <c r="AN1894"/>
  <c r="AN1895"/>
  <c r="AN1889"/>
  <c r="AL1890"/>
  <c r="AL1891"/>
  <c r="AL1892"/>
  <c r="AL1893"/>
  <c r="AL1894"/>
  <c r="AL1895"/>
  <c r="AL1889"/>
  <c r="AJ1890"/>
  <c r="AJ1891"/>
  <c r="AJ1892"/>
  <c r="AJ1893"/>
  <c r="AJ1894"/>
  <c r="AJ1895"/>
  <c r="AJ1889"/>
  <c r="AH1890"/>
  <c r="AH1891"/>
  <c r="AH1892"/>
  <c r="AH1893"/>
  <c r="AH1894"/>
  <c r="AH1895"/>
  <c r="AH1889"/>
  <c r="AD1832"/>
  <c r="AE1832" s="1"/>
  <c r="AE1823"/>
  <c r="AE1824"/>
  <c r="AE1825"/>
  <c r="AE1827"/>
  <c r="AE1829"/>
  <c r="AE1830"/>
  <c r="AE1831"/>
  <c r="AE1833"/>
  <c r="AE1822"/>
  <c r="AL1812"/>
  <c r="AL1815"/>
  <c r="AN1813"/>
  <c r="AN1814"/>
  <c r="AN1815"/>
  <c r="AN1816"/>
  <c r="AN1817"/>
  <c r="AN1818"/>
  <c r="AN1812"/>
  <c r="AL1813"/>
  <c r="AL1814"/>
  <c r="AL1816"/>
  <c r="AL1817"/>
  <c r="AL1818"/>
  <c r="AJ1813"/>
  <c r="AJ1814"/>
  <c r="AJ1815"/>
  <c r="AJ1816"/>
  <c r="AJ1817"/>
  <c r="AJ1818"/>
  <c r="AJ1812"/>
  <c r="AH1813"/>
  <c r="AH1814"/>
  <c r="AH1815"/>
  <c r="AH1816"/>
  <c r="AH1817"/>
  <c r="AH1818"/>
  <c r="AH1812"/>
  <c r="AE1806"/>
  <c r="AF1806" s="1"/>
  <c r="AC1755"/>
  <c r="AD1755" s="1"/>
  <c r="AE1755" s="1"/>
  <c r="AC1747"/>
  <c r="AD1747" s="1"/>
  <c r="AE1747" s="1"/>
  <c r="AC1746"/>
  <c r="AD1746" s="1"/>
  <c r="AE1746" s="1"/>
  <c r="AE1748"/>
  <c r="AE1750"/>
  <c r="AE1752"/>
  <c r="AE1753"/>
  <c r="AE1754"/>
  <c r="AE1756"/>
  <c r="AE1745"/>
  <c r="AG1739"/>
  <c r="AH1736"/>
  <c r="AK1740"/>
  <c r="AK1741"/>
  <c r="AK1739"/>
  <c r="AI1739"/>
  <c r="AI1740"/>
  <c r="AI1741"/>
  <c r="AN1736"/>
  <c r="AM1736"/>
  <c r="AG1740"/>
  <c r="AG1741"/>
  <c r="AQ1525"/>
  <c r="AQ1526"/>
  <c r="AQ1524"/>
  <c r="AO1525"/>
  <c r="AO1526"/>
  <c r="AO1524"/>
  <c r="AM1525"/>
  <c r="AM1526"/>
  <c r="AM1524"/>
  <c r="AK1525"/>
  <c r="AK1526"/>
  <c r="AK1524"/>
  <c r="AI1525"/>
  <c r="AI1526"/>
  <c r="AG1514"/>
  <c r="AH1514" s="1"/>
  <c r="AQ1452"/>
  <c r="AQ1451"/>
  <c r="AO1452"/>
  <c r="AO1451"/>
  <c r="AM1452"/>
  <c r="AM1451"/>
  <c r="AK1452"/>
  <c r="AK1451"/>
  <c r="AI1452"/>
  <c r="AI1451"/>
  <c r="AQ1329"/>
  <c r="AQ1330"/>
  <c r="AQ1331"/>
  <c r="AQ1332"/>
  <c r="AQ1328"/>
  <c r="AO1329"/>
  <c r="AO1330"/>
  <c r="AO1331"/>
  <c r="AO1332"/>
  <c r="AO1328"/>
  <c r="AM1329"/>
  <c r="AM1330"/>
  <c r="AM1331"/>
  <c r="AM1332"/>
  <c r="AM1328"/>
  <c r="AI1329"/>
  <c r="AI1331"/>
  <c r="AK1329"/>
  <c r="AK1330"/>
  <c r="AK1331"/>
  <c r="AK1332"/>
  <c r="AK1328"/>
  <c r="AI1330"/>
  <c r="AI1332"/>
  <c r="AI1328"/>
  <c r="AM1204"/>
  <c r="AK1206"/>
  <c r="AQ1204"/>
  <c r="AQ1205"/>
  <c r="AQ1206"/>
  <c r="AQ1207"/>
  <c r="AQ1208"/>
  <c r="AQ1203"/>
  <c r="AO1204"/>
  <c r="AO1205"/>
  <c r="AO1206"/>
  <c r="AO1207"/>
  <c r="AO1208"/>
  <c r="AO1203"/>
  <c r="AM1205"/>
  <c r="AM1206"/>
  <c r="AM1207"/>
  <c r="AM1208"/>
  <c r="AM1203"/>
  <c r="AK1204"/>
  <c r="AK1205"/>
  <c r="AK1207"/>
  <c r="AK1208"/>
  <c r="AK1203"/>
  <c r="AI1204"/>
  <c r="AI1205"/>
  <c r="AI1206"/>
  <c r="AI1207"/>
  <c r="AI1208"/>
  <c r="AI1203"/>
  <c r="AE1198"/>
  <c r="AF1198" s="1"/>
  <c r="AE1135"/>
  <c r="AE1136"/>
  <c r="AE1137"/>
  <c r="AE1139"/>
  <c r="AE1141"/>
  <c r="AE1143"/>
  <c r="AE1144"/>
  <c r="AE1145"/>
  <c r="AE1146"/>
  <c r="AE1134"/>
  <c r="AQ1126"/>
  <c r="AQ1127"/>
  <c r="AQ1128"/>
  <c r="AQ1129"/>
  <c r="AQ1130"/>
  <c r="AQ1125"/>
  <c r="AO1126"/>
  <c r="AO1127"/>
  <c r="AO1128"/>
  <c r="AO1129"/>
  <c r="AO1130"/>
  <c r="AO1125"/>
  <c r="AM1126"/>
  <c r="AM1127"/>
  <c r="AM1128"/>
  <c r="AM1129"/>
  <c r="AM1130"/>
  <c r="AM1125"/>
  <c r="AK1126"/>
  <c r="AK1127"/>
  <c r="AK1128"/>
  <c r="AK1130"/>
  <c r="AK1125"/>
  <c r="AK1129"/>
  <c r="AI1126"/>
  <c r="AI1127"/>
  <c r="AI1128"/>
  <c r="AI1129"/>
  <c r="AI1130"/>
  <c r="AI1125"/>
  <c r="AQ1053"/>
  <c r="AQ1052"/>
  <c r="AO1053"/>
  <c r="AO1052"/>
  <c r="AM1053"/>
  <c r="AM1052"/>
  <c r="AK1053"/>
  <c r="AK1052"/>
  <c r="AI1053"/>
  <c r="AI1052"/>
  <c r="AH1041"/>
  <c r="AI1041" s="1"/>
  <c r="AQ980"/>
  <c r="AQ979"/>
  <c r="AN980"/>
  <c r="AO980" s="1"/>
  <c r="AN979"/>
  <c r="AO979" s="1"/>
  <c r="AM980"/>
  <c r="AM979"/>
  <c r="AK980"/>
  <c r="AK979"/>
  <c r="AI980"/>
  <c r="AI979"/>
  <c r="AQ907"/>
  <c r="AQ906"/>
  <c r="AO907"/>
  <c r="AO906"/>
  <c r="AM907"/>
  <c r="AM906"/>
  <c r="AK907"/>
  <c r="AK906"/>
  <c r="AI907"/>
  <c r="AI906"/>
  <c r="AE912"/>
  <c r="AE913"/>
  <c r="AE915"/>
  <c r="AE917"/>
  <c r="AE919"/>
  <c r="AE920"/>
  <c r="AE921"/>
  <c r="AE922"/>
  <c r="AE911"/>
  <c r="AE839"/>
  <c r="AQ835"/>
  <c r="AQ834"/>
  <c r="AO835"/>
  <c r="AO834"/>
  <c r="AK835"/>
  <c r="AM835"/>
  <c r="AM834"/>
  <c r="AK834"/>
  <c r="AI835"/>
  <c r="AI834"/>
  <c r="AE767"/>
  <c r="AE768"/>
  <c r="AE770"/>
  <c r="AE772"/>
  <c r="AE774"/>
  <c r="AE775"/>
  <c r="AE776"/>
  <c r="AE777"/>
  <c r="AE766"/>
  <c r="AQ761"/>
  <c r="AQ762"/>
  <c r="AQ760"/>
  <c r="AO761"/>
  <c r="AO762"/>
  <c r="AO760"/>
  <c r="AM761"/>
  <c r="AM762"/>
  <c r="AM760"/>
  <c r="AK761"/>
  <c r="AK762"/>
  <c r="AK760"/>
  <c r="AI761"/>
  <c r="AI762"/>
  <c r="AI760"/>
  <c r="AE694"/>
  <c r="AE695"/>
  <c r="AE696"/>
  <c r="AE698"/>
  <c r="AE700"/>
  <c r="AE701"/>
  <c r="AE702"/>
  <c r="AE703"/>
  <c r="AE693"/>
  <c r="AD685"/>
  <c r="AE685"/>
  <c r="AQ688"/>
  <c r="AQ689"/>
  <c r="AQ687"/>
  <c r="AO688"/>
  <c r="AO689"/>
  <c r="AO687"/>
  <c r="AM688"/>
  <c r="AM689"/>
  <c r="AM687"/>
  <c r="AK688"/>
  <c r="AK689"/>
  <c r="AK687"/>
  <c r="AI688"/>
  <c r="AI689"/>
  <c r="AI687"/>
  <c r="AE374"/>
  <c r="AE375"/>
  <c r="AE376"/>
  <c r="AE378"/>
  <c r="AE380"/>
  <c r="AE381"/>
  <c r="AE382"/>
  <c r="AE383"/>
  <c r="AE385"/>
  <c r="AD384"/>
  <c r="AE384" s="1"/>
  <c r="AE373"/>
  <c r="AE369"/>
  <c r="AE301"/>
  <c r="AE302"/>
  <c r="AE303"/>
  <c r="AE304"/>
  <c r="AE306"/>
  <c r="AE308"/>
  <c r="AE309"/>
  <c r="AE310"/>
  <c r="AE311"/>
  <c r="AD312"/>
  <c r="AE312" s="1"/>
  <c r="AE313"/>
  <c r="AE300"/>
  <c r="AK293"/>
  <c r="AK294"/>
  <c r="AK295"/>
  <c r="AK296"/>
  <c r="AK292"/>
  <c r="AI293"/>
  <c r="AI294"/>
  <c r="AI295"/>
  <c r="AI296"/>
  <c r="AI292"/>
  <c r="AG293"/>
  <c r="AG294"/>
  <c r="AG295"/>
  <c r="AG296"/>
  <c r="AG292"/>
  <c r="AE175"/>
  <c r="AE176"/>
  <c r="AE177"/>
  <c r="AE178"/>
  <c r="AE180"/>
  <c r="AE182"/>
  <c r="AE183"/>
  <c r="AE184"/>
  <c r="AE185"/>
  <c r="AE187"/>
  <c r="AD186"/>
  <c r="AE186" s="1"/>
  <c r="AE174"/>
  <c r="AH94"/>
  <c r="AH93"/>
  <c r="AG94"/>
  <c r="AG93"/>
  <c r="AK167"/>
  <c r="AK168"/>
  <c r="AK169"/>
  <c r="AK170"/>
  <c r="AK166"/>
  <c r="AI167"/>
  <c r="AI168"/>
  <c r="AI169"/>
  <c r="AI170"/>
  <c r="AI166"/>
  <c r="AG167"/>
  <c r="AG168"/>
  <c r="AG169"/>
  <c r="AG170"/>
  <c r="AG166"/>
  <c r="AC109"/>
  <c r="AD109" s="1"/>
  <c r="AE109" s="1"/>
  <c r="AE99"/>
  <c r="AE100"/>
  <c r="AE101"/>
  <c r="AE103"/>
  <c r="AE105"/>
  <c r="AE106"/>
  <c r="AE107"/>
  <c r="AE108"/>
  <c r="AE110"/>
  <c r="AE98"/>
  <c r="AE25"/>
  <c r="AE26"/>
  <c r="AD36"/>
  <c r="AE36" s="1"/>
  <c r="AE27"/>
  <c r="AE28"/>
  <c r="AE30"/>
  <c r="AE32"/>
  <c r="AE33"/>
  <c r="AE34"/>
  <c r="AE35"/>
  <c r="AE37"/>
  <c r="AE24"/>
  <c r="AH17"/>
  <c r="AH19"/>
  <c r="AH16"/>
  <c r="AG16"/>
  <c r="AH20"/>
  <c r="AH15"/>
  <c r="AG17"/>
  <c r="AG18"/>
  <c r="AG19"/>
  <c r="AG20"/>
  <c r="AG15"/>
  <c r="AH18"/>
  <c r="D15"/>
  <c r="AL2305"/>
  <c r="AJ2305"/>
  <c r="AH2305"/>
  <c r="AF2305"/>
  <c r="AD2305"/>
  <c r="AE2290"/>
  <c r="AE2098"/>
  <c r="AD2098"/>
  <c r="AE904"/>
  <c r="E5"/>
  <c r="D4" i="7" s="1"/>
  <c r="B1" i="5"/>
  <c r="AG2221"/>
  <c r="AE2221"/>
  <c r="AE2162"/>
  <c r="AF2162"/>
  <c r="AG2162"/>
  <c r="AD2162"/>
  <c r="AE1522"/>
  <c r="AF1522"/>
  <c r="AG1522"/>
  <c r="AD1522"/>
  <c r="AE1449"/>
  <c r="AF1449"/>
  <c r="AG1449"/>
  <c r="AD1449"/>
  <c r="AE1326"/>
  <c r="AF1326"/>
  <c r="AG1326"/>
  <c r="AD1326"/>
  <c r="AE1201"/>
  <c r="AF1201"/>
  <c r="AG1201"/>
  <c r="AD1201"/>
  <c r="AE1123"/>
  <c r="AF1123"/>
  <c r="AG1123"/>
  <c r="AD1123"/>
  <c r="AF1050"/>
  <c r="AE1050"/>
  <c r="AG1050"/>
  <c r="AD1050"/>
  <c r="AE977"/>
  <c r="AF977"/>
  <c r="AG977"/>
  <c r="AD977"/>
  <c r="AF904"/>
  <c r="AG904"/>
  <c r="AD904"/>
  <c r="AE832"/>
  <c r="AF832"/>
  <c r="AG832"/>
  <c r="AD832"/>
  <c r="AD758"/>
  <c r="AE758"/>
  <c r="AF758"/>
  <c r="AG758"/>
  <c r="AF685"/>
  <c r="AG685"/>
  <c r="F1741"/>
  <c r="G1741" s="1"/>
  <c r="E305" i="7" s="1"/>
  <c r="L2651" i="5"/>
  <c r="M2651" s="1"/>
  <c r="H491" i="7" s="1"/>
  <c r="J2651" i="5"/>
  <c r="K2651" s="1"/>
  <c r="G491" i="7" s="1"/>
  <c r="H2651" i="5"/>
  <c r="I2651" s="1"/>
  <c r="F491" i="7" s="1"/>
  <c r="F2651" i="5"/>
  <c r="G2651" s="1"/>
  <c r="E491" i="7" s="1"/>
  <c r="D2651" i="5"/>
  <c r="E2651" s="1"/>
  <c r="D491" i="7" s="1"/>
  <c r="L2650" i="5"/>
  <c r="M2650" s="1"/>
  <c r="H490" i="7" s="1"/>
  <c r="J2650" i="5"/>
  <c r="K2650" s="1"/>
  <c r="G490" i="7" s="1"/>
  <c r="H2650" i="5"/>
  <c r="I2650" s="1"/>
  <c r="F490" i="7" s="1"/>
  <c r="F2650" i="5"/>
  <c r="G2650" s="1"/>
  <c r="E490" i="7" s="1"/>
  <c r="D2650" i="5"/>
  <c r="E2650" s="1"/>
  <c r="D490" i="7" s="1"/>
  <c r="L2649" i="5"/>
  <c r="M2649" s="1"/>
  <c r="H489" i="7" s="1"/>
  <c r="J2649" i="5"/>
  <c r="K2649" s="1"/>
  <c r="G489" i="7" s="1"/>
  <c r="H2649" i="5"/>
  <c r="I2649" s="1"/>
  <c r="F489" i="7" s="1"/>
  <c r="F2649" i="5"/>
  <c r="G2649" s="1"/>
  <c r="E489" i="7" s="1"/>
  <c r="D2649" i="5"/>
  <c r="E2649" s="1"/>
  <c r="L2648"/>
  <c r="M2648" s="1"/>
  <c r="H488" i="7" s="1"/>
  <c r="J2648" i="5"/>
  <c r="K2648" s="1"/>
  <c r="G488" i="7" s="1"/>
  <c r="H2648" i="5"/>
  <c r="I2648" s="1"/>
  <c r="F488" i="7" s="1"/>
  <c r="F2648" i="5"/>
  <c r="G2648" s="1"/>
  <c r="E488" i="7" s="1"/>
  <c r="D2648" i="5"/>
  <c r="E2648" s="1"/>
  <c r="D488" i="7" s="1"/>
  <c r="L2647" i="5"/>
  <c r="M2647" s="1"/>
  <c r="H487" i="7" s="1"/>
  <c r="J2647" i="5"/>
  <c r="K2647" s="1"/>
  <c r="G487" i="7" s="1"/>
  <c r="H2647" i="5"/>
  <c r="I2647" s="1"/>
  <c r="F487" i="7" s="1"/>
  <c r="F2647" i="5"/>
  <c r="G2647" s="1"/>
  <c r="E487" i="7" s="1"/>
  <c r="D2647" i="5"/>
  <c r="E2647" s="1"/>
  <c r="D487" i="7" s="1"/>
  <c r="L2646" i="5"/>
  <c r="M2646" s="1"/>
  <c r="H486" i="7" s="1"/>
  <c r="J2646" i="5"/>
  <c r="K2646" s="1"/>
  <c r="G486" i="7" s="1"/>
  <c r="H2646" i="5"/>
  <c r="I2646" s="1"/>
  <c r="F486" i="7" s="1"/>
  <c r="F2646" i="5"/>
  <c r="G2646" s="1"/>
  <c r="E486" i="7" s="1"/>
  <c r="D2646" i="5"/>
  <c r="E2646" s="1"/>
  <c r="D486" i="7" s="1"/>
  <c r="L2645" i="5"/>
  <c r="M2645" s="1"/>
  <c r="H485" i="7" s="1"/>
  <c r="J2645" i="5"/>
  <c r="K2645" s="1"/>
  <c r="G485" i="7" s="1"/>
  <c r="H2645" i="5"/>
  <c r="I2645" s="1"/>
  <c r="F485" i="7" s="1"/>
  <c r="F2645" i="5"/>
  <c r="G2645" s="1"/>
  <c r="E485" i="7" s="1"/>
  <c r="D2645" i="5"/>
  <c r="E2645" s="1"/>
  <c r="D485" i="7" s="1"/>
  <c r="L2644" i="5"/>
  <c r="M2644" s="1"/>
  <c r="H484" i="7" s="1"/>
  <c r="J2644" i="5"/>
  <c r="K2644" s="1"/>
  <c r="G484" i="7" s="1"/>
  <c r="H2644" i="5"/>
  <c r="I2644" s="1"/>
  <c r="F484" i="7" s="1"/>
  <c r="F2644" i="5"/>
  <c r="G2644" s="1"/>
  <c r="E484" i="7" s="1"/>
  <c r="D2644" i="5"/>
  <c r="E2644" s="1"/>
  <c r="D484" i="7" s="1"/>
  <c r="L2643" i="5"/>
  <c r="M2643" s="1"/>
  <c r="H483" i="7" s="1"/>
  <c r="J2643" i="5"/>
  <c r="K2643" s="1"/>
  <c r="G483" i="7" s="1"/>
  <c r="H2643" i="5"/>
  <c r="I2643" s="1"/>
  <c r="F483" i="7" s="1"/>
  <c r="F2643" i="5"/>
  <c r="G2643" s="1"/>
  <c r="E483" i="7" s="1"/>
  <c r="D2643" i="5"/>
  <c r="E2643" s="1"/>
  <c r="D483" i="7" s="1"/>
  <c r="L2642" i="5"/>
  <c r="M2642" s="1"/>
  <c r="H482" i="7" s="1"/>
  <c r="J2642" i="5"/>
  <c r="K2642" s="1"/>
  <c r="G482" i="7" s="1"/>
  <c r="H2642" i="5"/>
  <c r="I2642" s="1"/>
  <c r="F482" i="7" s="1"/>
  <c r="F2642" i="5"/>
  <c r="G2642" s="1"/>
  <c r="E482" i="7" s="1"/>
  <c r="D2642" i="5"/>
  <c r="E2642" s="1"/>
  <c r="D482" i="7" s="1"/>
  <c r="L2640" i="5"/>
  <c r="M2640" s="1"/>
  <c r="H480" i="7" s="1"/>
  <c r="J2640" i="5"/>
  <c r="K2640" s="1"/>
  <c r="G480" i="7" s="1"/>
  <c r="H2640" i="5"/>
  <c r="I2640" s="1"/>
  <c r="F480" i="7" s="1"/>
  <c r="F2640" i="5"/>
  <c r="G2640" s="1"/>
  <c r="E480" i="7" s="1"/>
  <c r="D2640" i="5"/>
  <c r="E2640" s="1"/>
  <c r="D480" i="7" s="1"/>
  <c r="L2582" i="5"/>
  <c r="M2582" s="1"/>
  <c r="H474" i="7" s="1"/>
  <c r="J2582" i="5"/>
  <c r="K2582" s="1"/>
  <c r="G474" i="7" s="1"/>
  <c r="H2582" i="5"/>
  <c r="I2582" s="1"/>
  <c r="F474" i="7" s="1"/>
  <c r="F2582" i="5"/>
  <c r="G2582" s="1"/>
  <c r="E474" i="7" s="1"/>
  <c r="D2582" i="5"/>
  <c r="E2582" s="1"/>
  <c r="D474" i="7" s="1"/>
  <c r="L2581" i="5"/>
  <c r="M2581" s="1"/>
  <c r="H473" i="7" s="1"/>
  <c r="J2581" i="5"/>
  <c r="K2581" s="1"/>
  <c r="G473" i="7" s="1"/>
  <c r="H2581" i="5"/>
  <c r="I2581" s="1"/>
  <c r="F473" i="7" s="1"/>
  <c r="F2581" i="5"/>
  <c r="G2581" s="1"/>
  <c r="E473" i="7" s="1"/>
  <c r="D2581" i="5"/>
  <c r="E2581" s="1"/>
  <c r="D473" i="7" s="1"/>
  <c r="L689" i="5"/>
  <c r="M689" s="1"/>
  <c r="H150" i="7" s="1"/>
  <c r="J689" i="5"/>
  <c r="K689" s="1"/>
  <c r="G150" i="7" s="1"/>
  <c r="H689" i="5"/>
  <c r="I689" s="1"/>
  <c r="F150" i="7" s="1"/>
  <c r="F689" i="5"/>
  <c r="G689" s="1"/>
  <c r="E150" i="7" s="1"/>
  <c r="D689" i="5"/>
  <c r="E689" s="1"/>
  <c r="D150" i="7" s="1"/>
  <c r="L688" i="5"/>
  <c r="M688" s="1"/>
  <c r="H149" i="7" s="1"/>
  <c r="J688" i="5"/>
  <c r="K688" s="1"/>
  <c r="G149" i="7" s="1"/>
  <c r="H688" i="5"/>
  <c r="I688" s="1"/>
  <c r="F149" i="7" s="1"/>
  <c r="F688" i="5"/>
  <c r="G688" s="1"/>
  <c r="E149" i="7" s="1"/>
  <c r="D688" i="5"/>
  <c r="E688" s="1"/>
  <c r="D149" i="7" s="1"/>
  <c r="L687" i="5"/>
  <c r="M687" s="1"/>
  <c r="H148" i="7" s="1"/>
  <c r="J687" i="5"/>
  <c r="K687" s="1"/>
  <c r="G148" i="7" s="1"/>
  <c r="H687" i="5"/>
  <c r="I687" s="1"/>
  <c r="F148" i="7" s="1"/>
  <c r="F687" i="5"/>
  <c r="G687" s="1"/>
  <c r="E148" i="7" s="1"/>
  <c r="D687" i="5"/>
  <c r="E687" s="1"/>
  <c r="D148" i="7" s="1"/>
  <c r="L762" i="5"/>
  <c r="M762" s="1"/>
  <c r="H163" i="7" s="1"/>
  <c r="J762" i="5"/>
  <c r="K762" s="1"/>
  <c r="G163" i="7" s="1"/>
  <c r="H762" i="5"/>
  <c r="I762" s="1"/>
  <c r="F163" i="7" s="1"/>
  <c r="F762" i="5"/>
  <c r="G762" s="1"/>
  <c r="E163" i="7" s="1"/>
  <c r="D762" i="5"/>
  <c r="E762" s="1"/>
  <c r="D163" i="7" s="1"/>
  <c r="L761" i="5"/>
  <c r="M761" s="1"/>
  <c r="H162" i="7" s="1"/>
  <c r="J761" i="5"/>
  <c r="K761" s="1"/>
  <c r="G162" i="7" s="1"/>
  <c r="H761" i="5"/>
  <c r="I761" s="1"/>
  <c r="F162" i="7" s="1"/>
  <c r="F761" i="5"/>
  <c r="G761" s="1"/>
  <c r="E162" i="7" s="1"/>
  <c r="D761" i="5"/>
  <c r="E761" s="1"/>
  <c r="D162" i="7" s="1"/>
  <c r="L760" i="5"/>
  <c r="M760" s="1"/>
  <c r="H161" i="7" s="1"/>
  <c r="J760" i="5"/>
  <c r="K760" s="1"/>
  <c r="G161" i="7" s="1"/>
  <c r="H760" i="5"/>
  <c r="I760" s="1"/>
  <c r="F161" i="7" s="1"/>
  <c r="F760" i="5"/>
  <c r="G760" s="1"/>
  <c r="E161" i="7" s="1"/>
  <c r="D760" i="5"/>
  <c r="E760" s="1"/>
  <c r="D161" i="7" s="1"/>
  <c r="L835" i="5"/>
  <c r="M835" s="1"/>
  <c r="H176" i="7" s="1"/>
  <c r="J835" i="5"/>
  <c r="K835" s="1"/>
  <c r="G176" i="7" s="1"/>
  <c r="H835" i="5"/>
  <c r="I835" s="1"/>
  <c r="F176" i="7" s="1"/>
  <c r="F835" i="5"/>
  <c r="G835" s="1"/>
  <c r="E176" i="7" s="1"/>
  <c r="D835" i="5"/>
  <c r="E835" s="1"/>
  <c r="D176" i="7" s="1"/>
  <c r="L834" i="5"/>
  <c r="M834" s="1"/>
  <c r="H175" i="7" s="1"/>
  <c r="J834" i="5"/>
  <c r="K834" s="1"/>
  <c r="G175" i="7" s="1"/>
  <c r="H834" i="5"/>
  <c r="I834" s="1"/>
  <c r="F175" i="7" s="1"/>
  <c r="F834" i="5"/>
  <c r="G834" s="1"/>
  <c r="E175" i="7" s="1"/>
  <c r="D834" i="5"/>
  <c r="E834" s="1"/>
  <c r="D175" i="7" s="1"/>
  <c r="L907" i="5"/>
  <c r="M907" s="1"/>
  <c r="H189" i="7" s="1"/>
  <c r="J907" i="5"/>
  <c r="K907" s="1"/>
  <c r="G189" i="7" s="1"/>
  <c r="H907" i="5"/>
  <c r="I907" s="1"/>
  <c r="F189" i="7" s="1"/>
  <c r="F907" i="5"/>
  <c r="G907" s="1"/>
  <c r="E189" i="7" s="1"/>
  <c r="D907" i="5"/>
  <c r="E907" s="1"/>
  <c r="D189" i="7" s="1"/>
  <c r="L906" i="5"/>
  <c r="M906" s="1"/>
  <c r="H188" i="7" s="1"/>
  <c r="J906" i="5"/>
  <c r="K906" s="1"/>
  <c r="G188" i="7" s="1"/>
  <c r="H906" i="5"/>
  <c r="I906" s="1"/>
  <c r="F188" i="7" s="1"/>
  <c r="F906" i="5"/>
  <c r="G906" s="1"/>
  <c r="E188" i="7" s="1"/>
  <c r="D906" i="5"/>
  <c r="E906" s="1"/>
  <c r="D188" i="7" s="1"/>
  <c r="L980" i="5"/>
  <c r="M980" s="1"/>
  <c r="H203" i="7" s="1"/>
  <c r="J980" i="5"/>
  <c r="K980" s="1"/>
  <c r="G203" i="7" s="1"/>
  <c r="H980" i="5"/>
  <c r="I980" s="1"/>
  <c r="F203" i="7" s="1"/>
  <c r="F980" i="5"/>
  <c r="G980" s="1"/>
  <c r="E203" i="7" s="1"/>
  <c r="D980" i="5"/>
  <c r="E980" s="1"/>
  <c r="D203" i="7" s="1"/>
  <c r="L979" i="5"/>
  <c r="M979" s="1"/>
  <c r="H202" i="7" s="1"/>
  <c r="J979" i="5"/>
  <c r="K979" s="1"/>
  <c r="G202" i="7" s="1"/>
  <c r="H979" i="5"/>
  <c r="I979" s="1"/>
  <c r="F202" i="7" s="1"/>
  <c r="F979" i="5"/>
  <c r="G979" s="1"/>
  <c r="E202" i="7" s="1"/>
  <c r="D979" i="5"/>
  <c r="E979" s="1"/>
  <c r="D202" i="7" s="1"/>
  <c r="L1053" i="5"/>
  <c r="M1053" s="1"/>
  <c r="H217" i="7" s="1"/>
  <c r="J1053" i="5"/>
  <c r="K1053" s="1"/>
  <c r="G217" i="7" s="1"/>
  <c r="H1053" i="5"/>
  <c r="I1053" s="1"/>
  <c r="F217" i="7" s="1"/>
  <c r="F1053" i="5"/>
  <c r="G1053" s="1"/>
  <c r="E217" i="7" s="1"/>
  <c r="D1053" i="5"/>
  <c r="E1053" s="1"/>
  <c r="D217" i="7" s="1"/>
  <c r="L1052" i="5"/>
  <c r="M1052" s="1"/>
  <c r="H216" i="7" s="1"/>
  <c r="J1052" i="5"/>
  <c r="K1052" s="1"/>
  <c r="G216" i="7" s="1"/>
  <c r="H1052" i="5"/>
  <c r="I1052" s="1"/>
  <c r="F216" i="7" s="1"/>
  <c r="F1052" i="5"/>
  <c r="G1052" s="1"/>
  <c r="E216" i="7" s="1"/>
  <c r="D1052" i="5"/>
  <c r="E1052" s="1"/>
  <c r="D216" i="7" s="1"/>
  <c r="L1130" i="5"/>
  <c r="M1130" s="1"/>
  <c r="H235" i="7" s="1"/>
  <c r="J1130" i="5"/>
  <c r="K1130" s="1"/>
  <c r="G235" i="7" s="1"/>
  <c r="H1130" i="5"/>
  <c r="I1130" s="1"/>
  <c r="F235" i="7" s="1"/>
  <c r="F1130" i="5"/>
  <c r="G1130" s="1"/>
  <c r="E235" i="7" s="1"/>
  <c r="D1130" i="5"/>
  <c r="E1130" s="1"/>
  <c r="D235" i="7" s="1"/>
  <c r="L1129" i="5"/>
  <c r="M1129" s="1"/>
  <c r="H234" i="7" s="1"/>
  <c r="J1129" i="5"/>
  <c r="K1129" s="1"/>
  <c r="G234" i="7" s="1"/>
  <c r="H1129" i="5"/>
  <c r="I1129" s="1"/>
  <c r="F234" i="7" s="1"/>
  <c r="F1129" i="5"/>
  <c r="G1129" s="1"/>
  <c r="E234" i="7" s="1"/>
  <c r="D1129" i="5"/>
  <c r="E1129" s="1"/>
  <c r="D234" i="7" s="1"/>
  <c r="L1128" i="5"/>
  <c r="M1128" s="1"/>
  <c r="H233" i="7" s="1"/>
  <c r="J1128" i="5"/>
  <c r="K1128" s="1"/>
  <c r="G233" i="7" s="1"/>
  <c r="H1128" i="5"/>
  <c r="I1128" s="1"/>
  <c r="F233" i="7" s="1"/>
  <c r="F1128" i="5"/>
  <c r="G1128" s="1"/>
  <c r="E233" i="7" s="1"/>
  <c r="D1128" i="5"/>
  <c r="E1128" s="1"/>
  <c r="D233" i="7" s="1"/>
  <c r="L1127" i="5"/>
  <c r="M1127" s="1"/>
  <c r="H232" i="7" s="1"/>
  <c r="J1127" i="5"/>
  <c r="K1127" s="1"/>
  <c r="G232" i="7" s="1"/>
  <c r="H1127" i="5"/>
  <c r="I1127" s="1"/>
  <c r="F232" i="7" s="1"/>
  <c r="F1127" i="5"/>
  <c r="G1127" s="1"/>
  <c r="E232" i="7" s="1"/>
  <c r="D1127" i="5"/>
  <c r="E1127" s="1"/>
  <c r="D232" i="7" s="1"/>
  <c r="L1126" i="5"/>
  <c r="M1126" s="1"/>
  <c r="H231" i="7" s="1"/>
  <c r="J1126" i="5"/>
  <c r="K1126" s="1"/>
  <c r="G231" i="7" s="1"/>
  <c r="H1126" i="5"/>
  <c r="I1126" s="1"/>
  <c r="F231" i="7" s="1"/>
  <c r="F1126" i="5"/>
  <c r="G1126" s="1"/>
  <c r="E231" i="7" s="1"/>
  <c r="D1126" i="5"/>
  <c r="E1126" s="1"/>
  <c r="D231" i="7" s="1"/>
  <c r="L1125" i="5"/>
  <c r="M1125" s="1"/>
  <c r="H230" i="7" s="1"/>
  <c r="J1125" i="5"/>
  <c r="K1125" s="1"/>
  <c r="G230" i="7" s="1"/>
  <c r="H1125" i="5"/>
  <c r="I1125" s="1"/>
  <c r="F230" i="7" s="1"/>
  <c r="F1125" i="5"/>
  <c r="G1125" s="1"/>
  <c r="E230" i="7" s="1"/>
  <c r="D1125" i="5"/>
  <c r="E1125" s="1"/>
  <c r="D230" i="7" s="1"/>
  <c r="L1208" i="5"/>
  <c r="M1208" s="1"/>
  <c r="H250" i="7" s="1"/>
  <c r="J1208" i="5"/>
  <c r="K1208" s="1"/>
  <c r="G250" i="7" s="1"/>
  <c r="H1208" i="5"/>
  <c r="I1208" s="1"/>
  <c r="F250" i="7" s="1"/>
  <c r="F1208" i="5"/>
  <c r="G1208" s="1"/>
  <c r="E250" i="7" s="1"/>
  <c r="D1208" i="5"/>
  <c r="E1208" s="1"/>
  <c r="D250" i="7" s="1"/>
  <c r="L1207" i="5"/>
  <c r="M1207" s="1"/>
  <c r="H249" i="7" s="1"/>
  <c r="J1207" i="5"/>
  <c r="K1207" s="1"/>
  <c r="G249" i="7" s="1"/>
  <c r="H1207" i="5"/>
  <c r="I1207" s="1"/>
  <c r="F249" i="7" s="1"/>
  <c r="F1207" i="5"/>
  <c r="G1207" s="1"/>
  <c r="E249" i="7" s="1"/>
  <c r="D1207" i="5"/>
  <c r="E1207" s="1"/>
  <c r="D249" i="7" s="1"/>
  <c r="L1206" i="5"/>
  <c r="M1206" s="1"/>
  <c r="H248" i="7" s="1"/>
  <c r="J1206" i="5"/>
  <c r="K1206" s="1"/>
  <c r="G248" i="7" s="1"/>
  <c r="H1206" i="5"/>
  <c r="I1206" s="1"/>
  <c r="F248" i="7" s="1"/>
  <c r="F1206" i="5"/>
  <c r="G1206" s="1"/>
  <c r="E248" i="7" s="1"/>
  <c r="D1206" i="5"/>
  <c r="E1206" s="1"/>
  <c r="D248" i="7" s="1"/>
  <c r="L1205" i="5"/>
  <c r="M1205" s="1"/>
  <c r="H247" i="7" s="1"/>
  <c r="J1205" i="5"/>
  <c r="K1205" s="1"/>
  <c r="G247" i="7" s="1"/>
  <c r="H1205" i="5"/>
  <c r="I1205" s="1"/>
  <c r="F247" i="7" s="1"/>
  <c r="F1205" i="5"/>
  <c r="G1205" s="1"/>
  <c r="E247" i="7" s="1"/>
  <c r="D1205" i="5"/>
  <c r="E1205" s="1"/>
  <c r="D247" i="7" s="1"/>
  <c r="L1204" i="5"/>
  <c r="M1204" s="1"/>
  <c r="H246" i="7" s="1"/>
  <c r="J1204" i="5"/>
  <c r="K1204" s="1"/>
  <c r="G246" i="7" s="1"/>
  <c r="H1204" i="5"/>
  <c r="I1204" s="1"/>
  <c r="F246" i="7" s="1"/>
  <c r="F1204" i="5"/>
  <c r="G1204" s="1"/>
  <c r="E246" i="7" s="1"/>
  <c r="D1204" i="5"/>
  <c r="E1204" s="1"/>
  <c r="D246" i="7" s="1"/>
  <c r="L1203" i="5"/>
  <c r="M1203" s="1"/>
  <c r="H245" i="7" s="1"/>
  <c r="J1203" i="5"/>
  <c r="K1203" s="1"/>
  <c r="G245" i="7" s="1"/>
  <c r="H1203" i="5"/>
  <c r="I1203" s="1"/>
  <c r="F245" i="7" s="1"/>
  <c r="F1203" i="5"/>
  <c r="G1203" s="1"/>
  <c r="E245" i="7" s="1"/>
  <c r="D1203" i="5"/>
  <c r="E1203" s="1"/>
  <c r="D245" i="7" s="1"/>
  <c r="L1332" i="5"/>
  <c r="M1332" s="1"/>
  <c r="H264" i="7" s="1"/>
  <c r="J1332" i="5"/>
  <c r="K1332" s="1"/>
  <c r="G264" i="7" s="1"/>
  <c r="H1332" i="5"/>
  <c r="I1332" s="1"/>
  <c r="F264" i="7" s="1"/>
  <c r="F1332" i="5"/>
  <c r="G1332" s="1"/>
  <c r="E264" i="7" s="1"/>
  <c r="D1332" i="5"/>
  <c r="E1332" s="1"/>
  <c r="D264" i="7" s="1"/>
  <c r="L1331" i="5"/>
  <c r="M1331" s="1"/>
  <c r="H263" i="7" s="1"/>
  <c r="J1331" i="5"/>
  <c r="K1331" s="1"/>
  <c r="G263" i="7" s="1"/>
  <c r="H1331" i="5"/>
  <c r="I1331" s="1"/>
  <c r="F263" i="7" s="1"/>
  <c r="F1331" i="5"/>
  <c r="G1331" s="1"/>
  <c r="E263" i="7" s="1"/>
  <c r="D1331" i="5"/>
  <c r="E1331" s="1"/>
  <c r="D263" i="7" s="1"/>
  <c r="L1330" i="5"/>
  <c r="M1330" s="1"/>
  <c r="H262" i="7" s="1"/>
  <c r="J1330" i="5"/>
  <c r="K1330" s="1"/>
  <c r="G262" i="7" s="1"/>
  <c r="H1330" i="5"/>
  <c r="I1330" s="1"/>
  <c r="F262" i="7" s="1"/>
  <c r="F1330" i="5"/>
  <c r="G1330" s="1"/>
  <c r="E262" i="7" s="1"/>
  <c r="D1330" i="5"/>
  <c r="E1330" s="1"/>
  <c r="D262" i="7" s="1"/>
  <c r="L1329" i="5"/>
  <c r="M1329" s="1"/>
  <c r="H261" i="7" s="1"/>
  <c r="J1329" i="5"/>
  <c r="K1329" s="1"/>
  <c r="G261" i="7" s="1"/>
  <c r="H1329" i="5"/>
  <c r="I1329" s="1"/>
  <c r="F261" i="7" s="1"/>
  <c r="F1329" i="5"/>
  <c r="G1329" s="1"/>
  <c r="E261" i="7" s="1"/>
  <c r="D1329" i="5"/>
  <c r="E1329" s="1"/>
  <c r="D261" i="7" s="1"/>
  <c r="L1328" i="5"/>
  <c r="M1328" s="1"/>
  <c r="H260" i="7" s="1"/>
  <c r="J1328" i="5"/>
  <c r="K1328" s="1"/>
  <c r="G260" i="7" s="1"/>
  <c r="H1328" i="5"/>
  <c r="I1328" s="1"/>
  <c r="F260" i="7" s="1"/>
  <c r="F1328" i="5"/>
  <c r="G1328" s="1"/>
  <c r="E260" i="7" s="1"/>
  <c r="D1328" i="5"/>
  <c r="E1328" s="1"/>
  <c r="D260" i="7" s="1"/>
  <c r="L1452" i="5"/>
  <c r="M1452" s="1"/>
  <c r="H276" i="7" s="1"/>
  <c r="J1452" i="5"/>
  <c r="K1452" s="1"/>
  <c r="G276" i="7" s="1"/>
  <c r="H1452" i="5"/>
  <c r="I1452" s="1"/>
  <c r="F276" i="7" s="1"/>
  <c r="F1452" i="5"/>
  <c r="G1452" s="1"/>
  <c r="E276" i="7" s="1"/>
  <c r="D1452" i="5"/>
  <c r="E1452" s="1"/>
  <c r="D276" i="7" s="1"/>
  <c r="L1451" i="5"/>
  <c r="M1451" s="1"/>
  <c r="H275" i="7" s="1"/>
  <c r="J1451" i="5"/>
  <c r="K1451" s="1"/>
  <c r="G275" i="7" s="1"/>
  <c r="H1451" i="5"/>
  <c r="I1451" s="1"/>
  <c r="F275" i="7" s="1"/>
  <c r="F1451" i="5"/>
  <c r="G1451" s="1"/>
  <c r="E275" i="7" s="1"/>
  <c r="D1451" i="5"/>
  <c r="E1451" s="1"/>
  <c r="D275" i="7" s="1"/>
  <c r="L1526" i="5"/>
  <c r="M1526" s="1"/>
  <c r="H291" i="7" s="1"/>
  <c r="J1526" i="5"/>
  <c r="K1526" s="1"/>
  <c r="G291" i="7" s="1"/>
  <c r="H1526" i="5"/>
  <c r="I1526" s="1"/>
  <c r="F291" i="7" s="1"/>
  <c r="F1526" i="5"/>
  <c r="G1526" s="1"/>
  <c r="E291" i="7" s="1"/>
  <c r="D1526" i="5"/>
  <c r="E1526" s="1"/>
  <c r="D291" i="7" s="1"/>
  <c r="L1525" i="5"/>
  <c r="M1525" s="1"/>
  <c r="H290" i="7" s="1"/>
  <c r="J1525" i="5"/>
  <c r="K1525" s="1"/>
  <c r="G290" i="7" s="1"/>
  <c r="H1525" i="5"/>
  <c r="I1525" s="1"/>
  <c r="F290" i="7" s="1"/>
  <c r="F1525" i="5"/>
  <c r="G1525" s="1"/>
  <c r="E290" i="7" s="1"/>
  <c r="D1525" i="5"/>
  <c r="E1525" s="1"/>
  <c r="D290" i="7" s="1"/>
  <c r="L1524" i="5"/>
  <c r="M1524" s="1"/>
  <c r="H289" i="7" s="1"/>
  <c r="J1524" i="5"/>
  <c r="K1524" s="1"/>
  <c r="G289" i="7" s="1"/>
  <c r="H1524" i="5"/>
  <c r="I1524" s="1"/>
  <c r="F289" i="7" s="1"/>
  <c r="F1524" i="5"/>
  <c r="G1524" s="1"/>
  <c r="E289" i="7" s="1"/>
  <c r="D1524" i="5"/>
  <c r="E1524" s="1"/>
  <c r="D289" i="7" s="1"/>
  <c r="L2036" i="5"/>
  <c r="M2036" s="1"/>
  <c r="H355" i="7" s="1"/>
  <c r="J2036" i="5"/>
  <c r="K2036" s="1"/>
  <c r="G355" i="7" s="1"/>
  <c r="H2036" i="5"/>
  <c r="I2036" s="1"/>
  <c r="F355" i="7" s="1"/>
  <c r="F2036" i="5"/>
  <c r="G2036" s="1"/>
  <c r="E355" i="7" s="1"/>
  <c r="D2036" i="5"/>
  <c r="E2036" s="1"/>
  <c r="D355" i="7" s="1"/>
  <c r="L2035" i="5"/>
  <c r="M2035" s="1"/>
  <c r="H354" i="7" s="1"/>
  <c r="J2035" i="5"/>
  <c r="K2035" s="1"/>
  <c r="G354" i="7" s="1"/>
  <c r="H2035" i="5"/>
  <c r="I2035" s="1"/>
  <c r="F354" i="7" s="1"/>
  <c r="F2035" i="5"/>
  <c r="G2035" s="1"/>
  <c r="E354" i="7" s="1"/>
  <c r="D2035" i="5"/>
  <c r="E2035" s="1"/>
  <c r="D354" i="7" s="1"/>
  <c r="L2034" i="5"/>
  <c r="M2034" s="1"/>
  <c r="H353" i="7" s="1"/>
  <c r="J2034" i="5"/>
  <c r="K2034" s="1"/>
  <c r="G353" i="7" s="1"/>
  <c r="H2034" i="5"/>
  <c r="I2034" s="1"/>
  <c r="F353" i="7" s="1"/>
  <c r="F2034" i="5"/>
  <c r="G2034" s="1"/>
  <c r="E353" i="7" s="1"/>
  <c r="D2034" i="5"/>
  <c r="E2034" s="1"/>
  <c r="D353" i="7" s="1"/>
  <c r="L2033" i="5"/>
  <c r="M2033" s="1"/>
  <c r="H352" i="7" s="1"/>
  <c r="J2033" i="5"/>
  <c r="K2033" s="1"/>
  <c r="G352" i="7" s="1"/>
  <c r="H2033" i="5"/>
  <c r="I2033" s="1"/>
  <c r="F352" i="7" s="1"/>
  <c r="F2033" i="5"/>
  <c r="G2033" s="1"/>
  <c r="E352" i="7" s="1"/>
  <c r="D2033" i="5"/>
  <c r="E2033" s="1"/>
  <c r="D352" i="7" s="1"/>
  <c r="L2032" i="5"/>
  <c r="M2032" s="1"/>
  <c r="H351" i="7" s="1"/>
  <c r="J2032" i="5"/>
  <c r="K2032" s="1"/>
  <c r="G351" i="7" s="1"/>
  <c r="H2032" i="5"/>
  <c r="I2032" s="1"/>
  <c r="F351" i="7" s="1"/>
  <c r="F2032" i="5"/>
  <c r="G2032" s="1"/>
  <c r="E351" i="7" s="1"/>
  <c r="D2032" i="5"/>
  <c r="E2032" s="1"/>
  <c r="D351" i="7" s="1"/>
  <c r="L2164" i="5"/>
  <c r="M2164" s="1"/>
  <c r="H368" i="7" s="1"/>
  <c r="J2164" i="5"/>
  <c r="K2164" s="1"/>
  <c r="G368" i="7" s="1"/>
  <c r="H2164" i="5"/>
  <c r="I2164" s="1"/>
  <c r="F368" i="7" s="1"/>
  <c r="F2164" i="5"/>
  <c r="G2164" s="1"/>
  <c r="E368" i="7" s="1"/>
  <c r="D2164" i="5"/>
  <c r="E2164" s="1"/>
  <c r="D368" i="7" s="1"/>
  <c r="H2485" i="5"/>
  <c r="I2485" s="1"/>
  <c r="H2437"/>
  <c r="I2437" s="1"/>
  <c r="F440" i="7" s="1"/>
  <c r="H2435" i="5"/>
  <c r="I2435" s="1"/>
  <c r="F438" i="7" s="1"/>
  <c r="H2434" i="5"/>
  <c r="I2434" s="1"/>
  <c r="F437" i="7" s="1"/>
  <c r="H2433" i="5"/>
  <c r="I2433" s="1"/>
  <c r="F436" i="7" s="1"/>
  <c r="H2432" i="5"/>
  <c r="I2432" s="1"/>
  <c r="F435" i="7" s="1"/>
  <c r="H2431" i="5"/>
  <c r="I2431" s="1"/>
  <c r="F434" i="7" s="1"/>
  <c r="P2487" i="5"/>
  <c r="L2487"/>
  <c r="M2487" s="1"/>
  <c r="H2487"/>
  <c r="I2487" s="1"/>
  <c r="D2487"/>
  <c r="E2487" s="1"/>
  <c r="P2486"/>
  <c r="L2486"/>
  <c r="M2486" s="1"/>
  <c r="H2486"/>
  <c r="I2486" s="1"/>
  <c r="D2486"/>
  <c r="E2486" s="1"/>
  <c r="P2485"/>
  <c r="L2485"/>
  <c r="M2485" s="1"/>
  <c r="D2485"/>
  <c r="E2485" s="1"/>
  <c r="T2440"/>
  <c r="U2440" s="1"/>
  <c r="L443" i="7" s="1"/>
  <c r="P2440" i="5"/>
  <c r="Q2440" s="1"/>
  <c r="J443" i="7" s="1"/>
  <c r="L2440" i="5"/>
  <c r="M2440" s="1"/>
  <c r="H443" i="7" s="1"/>
  <c r="D2440" i="5"/>
  <c r="E2440" s="1"/>
  <c r="D443" i="7" s="1"/>
  <c r="T2439" i="5"/>
  <c r="U2439" s="1"/>
  <c r="L442" i="7" s="1"/>
  <c r="P2439" i="5"/>
  <c r="Q2439" s="1"/>
  <c r="J442" i="7" s="1"/>
  <c r="L2439" i="5"/>
  <c r="M2439" s="1"/>
  <c r="H442" i="7" s="1"/>
  <c r="D2439" i="5"/>
  <c r="E2439" s="1"/>
  <c r="D442" i="7" s="1"/>
  <c r="T2438" i="5"/>
  <c r="U2438" s="1"/>
  <c r="L441" i="7" s="1"/>
  <c r="P2438" i="5"/>
  <c r="Q2438" s="1"/>
  <c r="J441" i="7" s="1"/>
  <c r="L2438" i="5"/>
  <c r="M2438" s="1"/>
  <c r="H441" i="7" s="1"/>
  <c r="D2438" i="5"/>
  <c r="E2438" s="1"/>
  <c r="D441" i="7" s="1"/>
  <c r="T2437" i="5"/>
  <c r="U2437" s="1"/>
  <c r="L440" i="7" s="1"/>
  <c r="P2437" i="5"/>
  <c r="Q2437" s="1"/>
  <c r="J440" i="7" s="1"/>
  <c r="L2437" i="5"/>
  <c r="M2437" s="1"/>
  <c r="H440" i="7" s="1"/>
  <c r="D2437" i="5"/>
  <c r="E2437" s="1"/>
  <c r="D440" i="7" s="1"/>
  <c r="T2436" i="5"/>
  <c r="U2436" s="1"/>
  <c r="L439" i="7" s="1"/>
  <c r="P2436" i="5"/>
  <c r="Q2436" s="1"/>
  <c r="J439" i="7" s="1"/>
  <c r="L2436" i="5"/>
  <c r="M2436" s="1"/>
  <c r="H439" i="7" s="1"/>
  <c r="H2436" i="5"/>
  <c r="I2436" s="1"/>
  <c r="F439" i="7" s="1"/>
  <c r="D2436" i="5"/>
  <c r="E2436" s="1"/>
  <c r="D439" i="7" s="1"/>
  <c r="T2435" i="5"/>
  <c r="U2435" s="1"/>
  <c r="L438" i="7" s="1"/>
  <c r="P2435" i="5"/>
  <c r="Q2435" s="1"/>
  <c r="J438" i="7" s="1"/>
  <c r="L2435" i="5"/>
  <c r="M2435" s="1"/>
  <c r="H438" i="7" s="1"/>
  <c r="D2435" i="5"/>
  <c r="E2435" s="1"/>
  <c r="D438" i="7" s="1"/>
  <c r="T2434" i="5"/>
  <c r="U2434" s="1"/>
  <c r="L437" i="7" s="1"/>
  <c r="P2434" i="5"/>
  <c r="Q2434" s="1"/>
  <c r="J437" i="7" s="1"/>
  <c r="L2434" i="5"/>
  <c r="M2434" s="1"/>
  <c r="H437" i="7" s="1"/>
  <c r="D2434" i="5"/>
  <c r="E2434" s="1"/>
  <c r="D437" i="7" s="1"/>
  <c r="T2433" i="5"/>
  <c r="U2433" s="1"/>
  <c r="L436" i="7" s="1"/>
  <c r="P2433" i="5"/>
  <c r="Q2433" s="1"/>
  <c r="J436" i="7" s="1"/>
  <c r="L2433" i="5"/>
  <c r="M2433" s="1"/>
  <c r="H436" i="7" s="1"/>
  <c r="D2433" i="5"/>
  <c r="E2433" s="1"/>
  <c r="D436" i="7" s="1"/>
  <c r="T2432" i="5"/>
  <c r="U2432" s="1"/>
  <c r="L435" i="7" s="1"/>
  <c r="P2432" i="5"/>
  <c r="Q2432" s="1"/>
  <c r="J435" i="7" s="1"/>
  <c r="L2432" i="5"/>
  <c r="M2432" s="1"/>
  <c r="H435" i="7" s="1"/>
  <c r="D2432" i="5"/>
  <c r="E2432" s="1"/>
  <c r="D435" i="7" s="1"/>
  <c r="T2431" i="5"/>
  <c r="U2431" s="1"/>
  <c r="L434" i="7" s="1"/>
  <c r="P2431" i="5"/>
  <c r="Q2431" s="1"/>
  <c r="J434" i="7" s="1"/>
  <c r="L2431" i="5"/>
  <c r="M2431" s="1"/>
  <c r="H434" i="7" s="1"/>
  <c r="D2431" i="5"/>
  <c r="E2431" s="1"/>
  <c r="D434" i="7" s="1"/>
  <c r="J2371" i="5"/>
  <c r="K2371" s="1"/>
  <c r="G426" i="7" s="1"/>
  <c r="H2371" i="5"/>
  <c r="I2371" s="1"/>
  <c r="F426" i="7" s="1"/>
  <c r="J2369" i="5"/>
  <c r="K2369" s="1"/>
  <c r="G424" i="7" s="1"/>
  <c r="H2368" i="5"/>
  <c r="I2368" s="1"/>
  <c r="F423" i="7" s="1"/>
  <c r="J2367" i="5"/>
  <c r="K2367" s="1"/>
  <c r="G422" i="7" s="1"/>
  <c r="V2372" i="5"/>
  <c r="W2372" s="1"/>
  <c r="M427" i="7" s="1"/>
  <c r="T2372" i="5"/>
  <c r="U2372" s="1"/>
  <c r="L427" i="7" s="1"/>
  <c r="R2372" i="5"/>
  <c r="S2372" s="1"/>
  <c r="K427" i="7" s="1"/>
  <c r="P2372" i="5"/>
  <c r="Q2372" s="1"/>
  <c r="J427" i="7" s="1"/>
  <c r="N2372" i="5"/>
  <c r="O2372" s="1"/>
  <c r="I427" i="7" s="1"/>
  <c r="L2372" i="5"/>
  <c r="M2372" s="1"/>
  <c r="H427" i="7" s="1"/>
  <c r="J2372" i="5"/>
  <c r="K2372" s="1"/>
  <c r="G427" i="7" s="1"/>
  <c r="H2372" i="5"/>
  <c r="I2372" s="1"/>
  <c r="F427" i="7" s="1"/>
  <c r="F2372" i="5"/>
  <c r="G2372" s="1"/>
  <c r="E427" i="7" s="1"/>
  <c r="D2372" i="5"/>
  <c r="E2372" s="1"/>
  <c r="D427" i="7" s="1"/>
  <c r="V2371" i="5"/>
  <c r="W2371" s="1"/>
  <c r="M426" i="7" s="1"/>
  <c r="T2371" i="5"/>
  <c r="U2371" s="1"/>
  <c r="L426" i="7" s="1"/>
  <c r="R2371" i="5"/>
  <c r="S2371" s="1"/>
  <c r="K426" i="7" s="1"/>
  <c r="P2371" i="5"/>
  <c r="Q2371" s="1"/>
  <c r="J426" i="7" s="1"/>
  <c r="N2371" i="5"/>
  <c r="O2371" s="1"/>
  <c r="I426" i="7" s="1"/>
  <c r="L2371" i="5"/>
  <c r="M2371" s="1"/>
  <c r="H426" i="7" s="1"/>
  <c r="F2371" i="5"/>
  <c r="G2371" s="1"/>
  <c r="E426" i="7" s="1"/>
  <c r="D2371" i="5"/>
  <c r="E2371" s="1"/>
  <c r="D426" i="7" s="1"/>
  <c r="V2370" i="5"/>
  <c r="W2370" s="1"/>
  <c r="M425" i="7" s="1"/>
  <c r="T2370" i="5"/>
  <c r="U2370" s="1"/>
  <c r="L425" i="7" s="1"/>
  <c r="R2370" i="5"/>
  <c r="S2370" s="1"/>
  <c r="K425" i="7" s="1"/>
  <c r="P2370" i="5"/>
  <c r="Q2370" s="1"/>
  <c r="J425" i="7" s="1"/>
  <c r="N2370" i="5"/>
  <c r="O2370" s="1"/>
  <c r="I425" i="7" s="1"/>
  <c r="L2370" i="5"/>
  <c r="M2370" s="1"/>
  <c r="H425" i="7" s="1"/>
  <c r="J2370" i="5"/>
  <c r="K2370" s="1"/>
  <c r="G425" i="7" s="1"/>
  <c r="H2370" i="5"/>
  <c r="I2370" s="1"/>
  <c r="F425" i="7" s="1"/>
  <c r="F2370" i="5"/>
  <c r="G2370" s="1"/>
  <c r="E425" i="7" s="1"/>
  <c r="D2370" i="5"/>
  <c r="E2370" s="1"/>
  <c r="D425" i="7" s="1"/>
  <c r="V2369" i="5"/>
  <c r="W2369" s="1"/>
  <c r="M424" i="7" s="1"/>
  <c r="T2369" i="5"/>
  <c r="U2369" s="1"/>
  <c r="L424" i="7" s="1"/>
  <c r="R2369" i="5"/>
  <c r="S2369" s="1"/>
  <c r="K424" i="7" s="1"/>
  <c r="P2369" i="5"/>
  <c r="Q2369" s="1"/>
  <c r="J424" i="7" s="1"/>
  <c r="N2369" i="5"/>
  <c r="O2369" s="1"/>
  <c r="I424" i="7" s="1"/>
  <c r="L2369" i="5"/>
  <c r="M2369" s="1"/>
  <c r="H424" i="7" s="1"/>
  <c r="H2369" i="5"/>
  <c r="I2369" s="1"/>
  <c r="F424" i="7" s="1"/>
  <c r="F2369" i="5"/>
  <c r="G2369" s="1"/>
  <c r="E424" i="7" s="1"/>
  <c r="D2369" i="5"/>
  <c r="E2369" s="1"/>
  <c r="D424" i="7" s="1"/>
  <c r="V2368" i="5"/>
  <c r="W2368" s="1"/>
  <c r="M423" i="7" s="1"/>
  <c r="T2368" i="5"/>
  <c r="U2368" s="1"/>
  <c r="L423" i="7" s="1"/>
  <c r="R2368" i="5"/>
  <c r="S2368" s="1"/>
  <c r="K423" i="7" s="1"/>
  <c r="P2368" i="5"/>
  <c r="Q2368" s="1"/>
  <c r="J423" i="7" s="1"/>
  <c r="N2368" i="5"/>
  <c r="O2368" s="1"/>
  <c r="I423" i="7" s="1"/>
  <c r="L2368" i="5"/>
  <c r="M2368" s="1"/>
  <c r="H423" i="7" s="1"/>
  <c r="J2368" i="5"/>
  <c r="K2368" s="1"/>
  <c r="G423" i="7" s="1"/>
  <c r="F2368" i="5"/>
  <c r="G2368" s="1"/>
  <c r="E423" i="7" s="1"/>
  <c r="D2368" i="5"/>
  <c r="E2368" s="1"/>
  <c r="D423" i="7" s="1"/>
  <c r="V2367" i="5"/>
  <c r="V2358" s="1"/>
  <c r="T2367"/>
  <c r="U2367" s="1"/>
  <c r="L422" i="7" s="1"/>
  <c r="R2367" i="5"/>
  <c r="S2367" s="1"/>
  <c r="K422" i="7" s="1"/>
  <c r="P2367" i="5"/>
  <c r="Q2367" s="1"/>
  <c r="J422" i="7" s="1"/>
  <c r="N2367" i="5"/>
  <c r="O2367" s="1"/>
  <c r="I422" i="7" s="1"/>
  <c r="L2367" i="5"/>
  <c r="M2367" s="1"/>
  <c r="H422" i="7" s="1"/>
  <c r="H2367" i="5"/>
  <c r="I2367" s="1"/>
  <c r="F422" i="7" s="1"/>
  <c r="F2367" i="5"/>
  <c r="G2367" s="1"/>
  <c r="E422" i="7" s="1"/>
  <c r="D2367" i="5"/>
  <c r="E2367" s="1"/>
  <c r="D422" i="7" s="1"/>
  <c r="V2366" i="5"/>
  <c r="W2366" s="1"/>
  <c r="M421" i="7" s="1"/>
  <c r="T2366" i="5"/>
  <c r="U2366" s="1"/>
  <c r="L421" i="7" s="1"/>
  <c r="R2366" i="5"/>
  <c r="S2366" s="1"/>
  <c r="K421" i="7" s="1"/>
  <c r="P2366" i="5"/>
  <c r="Q2366" s="1"/>
  <c r="J421" i="7" s="1"/>
  <c r="N2366" i="5"/>
  <c r="O2366" s="1"/>
  <c r="I421" i="7" s="1"/>
  <c r="L2366" i="5"/>
  <c r="M2366" s="1"/>
  <c r="H421" i="7" s="1"/>
  <c r="J2366" i="5"/>
  <c r="K2366" s="1"/>
  <c r="G421" i="7" s="1"/>
  <c r="F2366" i="5"/>
  <c r="G2366" s="1"/>
  <c r="E421" i="7" s="1"/>
  <c r="D2366" i="5"/>
  <c r="E2366" s="1"/>
  <c r="D421" i="7" s="1"/>
  <c r="V2365" i="5"/>
  <c r="W2365" s="1"/>
  <c r="M420" i="7" s="1"/>
  <c r="T2365" i="5"/>
  <c r="U2365" s="1"/>
  <c r="L420" i="7" s="1"/>
  <c r="R2365" i="5"/>
  <c r="S2365" s="1"/>
  <c r="K420" i="7" s="1"/>
  <c r="P2365" i="5"/>
  <c r="Q2365" s="1"/>
  <c r="J420" i="7" s="1"/>
  <c r="N2365" i="5"/>
  <c r="O2365" s="1"/>
  <c r="I420" i="7" s="1"/>
  <c r="L2365" i="5"/>
  <c r="M2365" s="1"/>
  <c r="H420" i="7" s="1"/>
  <c r="H2365" i="5"/>
  <c r="I2365" s="1"/>
  <c r="F420" i="7" s="1"/>
  <c r="F2365" i="5"/>
  <c r="G2365" s="1"/>
  <c r="E420" i="7" s="1"/>
  <c r="D2365" i="5"/>
  <c r="E2365" s="1"/>
  <c r="D420" i="7" s="1"/>
  <c r="V2364" i="5"/>
  <c r="W2364" s="1"/>
  <c r="M419" i="7" s="1"/>
  <c r="T2364" i="5"/>
  <c r="U2364" s="1"/>
  <c r="L419" i="7" s="1"/>
  <c r="R2364" i="5"/>
  <c r="S2364" s="1"/>
  <c r="K419" i="7" s="1"/>
  <c r="P2364" i="5"/>
  <c r="Q2364" s="1"/>
  <c r="J419" i="7" s="1"/>
  <c r="N2364" i="5"/>
  <c r="O2364" s="1"/>
  <c r="I419" i="7" s="1"/>
  <c r="L2364" i="5"/>
  <c r="M2364" s="1"/>
  <c r="H419" i="7" s="1"/>
  <c r="J2364" i="5"/>
  <c r="K2364" s="1"/>
  <c r="G419" i="7" s="1"/>
  <c r="H2364" i="5"/>
  <c r="I2364" s="1"/>
  <c r="F419" i="7" s="1"/>
  <c r="F2364" i="5"/>
  <c r="G2364" s="1"/>
  <c r="E419" i="7" s="1"/>
  <c r="D2364" i="5"/>
  <c r="E2364" s="1"/>
  <c r="D419" i="7" s="1"/>
  <c r="V2363" i="5"/>
  <c r="W2363" s="1"/>
  <c r="M418" i="7" s="1"/>
  <c r="T2363" i="5"/>
  <c r="U2363" s="1"/>
  <c r="L418" i="7" s="1"/>
  <c r="R2363" i="5"/>
  <c r="S2363" s="1"/>
  <c r="K418" i="7" s="1"/>
  <c r="P2363" i="5"/>
  <c r="Q2363" s="1"/>
  <c r="J418" i="7" s="1"/>
  <c r="N2363" i="5"/>
  <c r="O2363" s="1"/>
  <c r="I418" i="7" s="1"/>
  <c r="L2363" i="5"/>
  <c r="M2363" s="1"/>
  <c r="H418" i="7" s="1"/>
  <c r="F2363" i="5"/>
  <c r="G2363" s="1"/>
  <c r="E418" i="7" s="1"/>
  <c r="D2363" i="5"/>
  <c r="E2363" s="1"/>
  <c r="D418" i="7" s="1"/>
  <c r="J2304" i="5"/>
  <c r="K2304" s="1"/>
  <c r="G411" i="7" s="1"/>
  <c r="J2302" i="5"/>
  <c r="K2302" s="1"/>
  <c r="G409" i="7" s="1"/>
  <c r="H2302" i="5"/>
  <c r="I2302" s="1"/>
  <c r="F409" i="7" s="1"/>
  <c r="J2295" i="5"/>
  <c r="K2295" s="1"/>
  <c r="G402" i="7" s="1"/>
  <c r="J2291" i="5"/>
  <c r="K2291" s="1"/>
  <c r="G398" i="7" s="1"/>
  <c r="H2295" i="5"/>
  <c r="I2295" s="1"/>
  <c r="F402" i="7" s="1"/>
  <c r="H2294" i="5"/>
  <c r="I2294" s="1"/>
  <c r="F401" i="7" s="1"/>
  <c r="H2291" i="5"/>
  <c r="I2291" s="1"/>
  <c r="F398" i="7" s="1"/>
  <c r="V2304" i="5"/>
  <c r="W2304" s="1"/>
  <c r="M411" i="7" s="1"/>
  <c r="T2304" i="5"/>
  <c r="U2304" s="1"/>
  <c r="L411" i="7" s="1"/>
  <c r="R2304" i="5"/>
  <c r="S2304" s="1"/>
  <c r="K411" i="7" s="1"/>
  <c r="P2304" i="5"/>
  <c r="Q2304" s="1"/>
  <c r="J411" i="7" s="1"/>
  <c r="N2304" i="5"/>
  <c r="O2304" s="1"/>
  <c r="I411" i="7" s="1"/>
  <c r="L2304" i="5"/>
  <c r="M2304" s="1"/>
  <c r="H411" i="7" s="1"/>
  <c r="H2304" i="5"/>
  <c r="I2304" s="1"/>
  <c r="F411" i="7" s="1"/>
  <c r="F2304" i="5"/>
  <c r="G2304" s="1"/>
  <c r="E411" i="7" s="1"/>
  <c r="D2304" i="5"/>
  <c r="E2304" s="1"/>
  <c r="D411" i="7" s="1"/>
  <c r="V2303" i="5"/>
  <c r="V2305" s="1"/>
  <c r="T2303"/>
  <c r="U2303" s="1"/>
  <c r="L410" i="7" s="1"/>
  <c r="R2303" i="5"/>
  <c r="S2303" s="1"/>
  <c r="K410" i="7" s="1"/>
  <c r="P2303" i="5"/>
  <c r="Q2303" s="1"/>
  <c r="J410" i="7" s="1"/>
  <c r="N2303" i="5"/>
  <c r="O2303" s="1"/>
  <c r="I410" i="7" s="1"/>
  <c r="L2303" i="5"/>
  <c r="M2303" s="1"/>
  <c r="H410" i="7" s="1"/>
  <c r="J2303" i="5"/>
  <c r="K2303" s="1"/>
  <c r="G410" i="7" s="1"/>
  <c r="H2303" i="5"/>
  <c r="I2303" s="1"/>
  <c r="F410" i="7" s="1"/>
  <c r="F2303" i="5"/>
  <c r="G2303" s="1"/>
  <c r="E410" i="7" s="1"/>
  <c r="D2303" i="5"/>
  <c r="E2303" s="1"/>
  <c r="D410" i="7" s="1"/>
  <c r="V2302" i="5"/>
  <c r="W2302" s="1"/>
  <c r="M409" i="7" s="1"/>
  <c r="T2302" i="5"/>
  <c r="U2302" s="1"/>
  <c r="L409" i="7" s="1"/>
  <c r="R2302" i="5"/>
  <c r="S2302" s="1"/>
  <c r="K409" i="7" s="1"/>
  <c r="P2302" i="5"/>
  <c r="Q2302" s="1"/>
  <c r="J409" i="7" s="1"/>
  <c r="N2302" i="5"/>
  <c r="O2302" s="1"/>
  <c r="I409" i="7" s="1"/>
  <c r="L2302" i="5"/>
  <c r="M2302" s="1"/>
  <c r="H409" i="7" s="1"/>
  <c r="F2302" i="5"/>
  <c r="G2302" s="1"/>
  <c r="E409" i="7" s="1"/>
  <c r="D2302" i="5"/>
  <c r="E2302" s="1"/>
  <c r="D409" i="7" s="1"/>
  <c r="V2300" i="5"/>
  <c r="V2286" s="1"/>
  <c r="T2300"/>
  <c r="U2300" s="1"/>
  <c r="L407" i="7" s="1"/>
  <c r="R2300" i="5"/>
  <c r="S2300" s="1"/>
  <c r="K407" i="7" s="1"/>
  <c r="P2300" i="5"/>
  <c r="Q2300" s="1"/>
  <c r="J407" i="7" s="1"/>
  <c r="N2300" i="5"/>
  <c r="O2300" s="1"/>
  <c r="I407" i="7" s="1"/>
  <c r="L2300" i="5"/>
  <c r="M2300" s="1"/>
  <c r="H407" i="7" s="1"/>
  <c r="F2300" i="5"/>
  <c r="G2300" s="1"/>
  <c r="E407" i="7" s="1"/>
  <c r="D2300" i="5"/>
  <c r="E2300" s="1"/>
  <c r="D407" i="7" s="1"/>
  <c r="V2299" i="5"/>
  <c r="W2299" s="1"/>
  <c r="M406" i="7" s="1"/>
  <c r="T2299" i="5"/>
  <c r="U2299" s="1"/>
  <c r="L406" i="7" s="1"/>
  <c r="R2299" i="5"/>
  <c r="S2299" s="1"/>
  <c r="K406" i="7" s="1"/>
  <c r="P2299" i="5"/>
  <c r="Q2299" s="1"/>
  <c r="J406" i="7" s="1"/>
  <c r="N2299" i="5"/>
  <c r="O2299" s="1"/>
  <c r="I406" i="7" s="1"/>
  <c r="L2299" i="5"/>
  <c r="M2299" s="1"/>
  <c r="H406" i="7" s="1"/>
  <c r="F2299" i="5"/>
  <c r="G2299" s="1"/>
  <c r="E406" i="7" s="1"/>
  <c r="D2299" i="5"/>
  <c r="E2299" s="1"/>
  <c r="D406" i="7" s="1"/>
  <c r="V2298" i="5"/>
  <c r="W2298" s="1"/>
  <c r="M405" i="7" s="1"/>
  <c r="T2298" i="5"/>
  <c r="U2298" s="1"/>
  <c r="L405" i="7" s="1"/>
  <c r="R2298" i="5"/>
  <c r="S2298" s="1"/>
  <c r="K405" i="7" s="1"/>
  <c r="P2298" i="5"/>
  <c r="Q2298" s="1"/>
  <c r="J405" i="7" s="1"/>
  <c r="N2298" i="5"/>
  <c r="O2298" s="1"/>
  <c r="I405" i="7" s="1"/>
  <c r="L2298" i="5"/>
  <c r="M2298" s="1"/>
  <c r="H405" i="7" s="1"/>
  <c r="F2298" i="5"/>
  <c r="G2298" s="1"/>
  <c r="E405" i="7" s="1"/>
  <c r="D2298" i="5"/>
  <c r="E2298" s="1"/>
  <c r="D405" i="7" s="1"/>
  <c r="V2297" i="5"/>
  <c r="W2297" s="1"/>
  <c r="M404" i="7" s="1"/>
  <c r="T2297" i="5"/>
  <c r="U2297" s="1"/>
  <c r="L404" i="7" s="1"/>
  <c r="R2297" i="5"/>
  <c r="S2297" s="1"/>
  <c r="K404" i="7" s="1"/>
  <c r="P2297" i="5"/>
  <c r="Q2297" s="1"/>
  <c r="J404" i="7" s="1"/>
  <c r="N2297" i="5"/>
  <c r="O2297" s="1"/>
  <c r="I404" i="7" s="1"/>
  <c r="L2297" i="5"/>
  <c r="M2297" s="1"/>
  <c r="H404" i="7" s="1"/>
  <c r="J2297" i="5"/>
  <c r="K2297" s="1"/>
  <c r="G404" i="7" s="1"/>
  <c r="H2297" i="5"/>
  <c r="I2297" s="1"/>
  <c r="F404" i="7" s="1"/>
  <c r="F2297" i="5"/>
  <c r="G2297" s="1"/>
  <c r="E404" i="7" s="1"/>
  <c r="D2297" i="5"/>
  <c r="E2297" s="1"/>
  <c r="D404" i="7" s="1"/>
  <c r="V2296" i="5"/>
  <c r="W2296" s="1"/>
  <c r="M403" i="7" s="1"/>
  <c r="T2296" i="5"/>
  <c r="U2296" s="1"/>
  <c r="L403" i="7" s="1"/>
  <c r="R2296" i="5"/>
  <c r="S2296" s="1"/>
  <c r="K403" i="7" s="1"/>
  <c r="P2296" i="5"/>
  <c r="Q2296" s="1"/>
  <c r="J403" i="7" s="1"/>
  <c r="N2296" i="5"/>
  <c r="O2296" s="1"/>
  <c r="I403" i="7" s="1"/>
  <c r="L2296" i="5"/>
  <c r="M2296" s="1"/>
  <c r="H403" i="7" s="1"/>
  <c r="J2296" i="5"/>
  <c r="K2296" s="1"/>
  <c r="G403" i="7" s="1"/>
  <c r="H2296" i="5"/>
  <c r="I2296" s="1"/>
  <c r="F403" i="7" s="1"/>
  <c r="F2296" i="5"/>
  <c r="G2296" s="1"/>
  <c r="E403" i="7" s="1"/>
  <c r="D2296" i="5"/>
  <c r="E2296" s="1"/>
  <c r="D403" i="7" s="1"/>
  <c r="V2295" i="5"/>
  <c r="W2295" s="1"/>
  <c r="M402" i="7" s="1"/>
  <c r="T2295" i="5"/>
  <c r="U2295" s="1"/>
  <c r="L402" i="7" s="1"/>
  <c r="R2295" i="5"/>
  <c r="S2295" s="1"/>
  <c r="K402" i="7" s="1"/>
  <c r="P2295" i="5"/>
  <c r="Q2295" s="1"/>
  <c r="J402" i="7" s="1"/>
  <c r="N2295" i="5"/>
  <c r="O2295" s="1"/>
  <c r="I402" i="7" s="1"/>
  <c r="L2295" i="5"/>
  <c r="M2295" s="1"/>
  <c r="H402" i="7" s="1"/>
  <c r="F2295" i="5"/>
  <c r="G2295" s="1"/>
  <c r="E402" i="7" s="1"/>
  <c r="D2295" i="5"/>
  <c r="E2295" s="1"/>
  <c r="D402" i="7" s="1"/>
  <c r="V2294" i="5"/>
  <c r="W2294" s="1"/>
  <c r="M401" i="7" s="1"/>
  <c r="T2294" i="5"/>
  <c r="U2294" s="1"/>
  <c r="L401" i="7" s="1"/>
  <c r="R2294" i="5"/>
  <c r="S2294" s="1"/>
  <c r="K401" i="7" s="1"/>
  <c r="P2294" i="5"/>
  <c r="Q2294" s="1"/>
  <c r="J401" i="7" s="1"/>
  <c r="N2294" i="5"/>
  <c r="O2294" s="1"/>
  <c r="I401" i="7" s="1"/>
  <c r="L2294" i="5"/>
  <c r="M2294" s="1"/>
  <c r="H401" i="7" s="1"/>
  <c r="F2294" i="5"/>
  <c r="G2294" s="1"/>
  <c r="E401" i="7" s="1"/>
  <c r="D2294" i="5"/>
  <c r="E2294" s="1"/>
  <c r="D401" i="7" s="1"/>
  <c r="V2293" i="5"/>
  <c r="W2293" s="1"/>
  <c r="M400" i="7" s="1"/>
  <c r="T2293" i="5"/>
  <c r="U2293" s="1"/>
  <c r="L400" i="7" s="1"/>
  <c r="R2293" i="5"/>
  <c r="S2293" s="1"/>
  <c r="K400" i="7" s="1"/>
  <c r="P2293" i="5"/>
  <c r="Q2293" s="1"/>
  <c r="J400" i="7" s="1"/>
  <c r="N2293" i="5"/>
  <c r="O2293" s="1"/>
  <c r="I400" i="7" s="1"/>
  <c r="L2293" i="5"/>
  <c r="M2293" s="1"/>
  <c r="H400" i="7" s="1"/>
  <c r="H2293" i="5"/>
  <c r="I2293" s="1"/>
  <c r="F400" i="7" s="1"/>
  <c r="F2293" i="5"/>
  <c r="G2293" s="1"/>
  <c r="E400" i="7" s="1"/>
  <c r="D2293" i="5"/>
  <c r="E2293" s="1"/>
  <c r="D400" i="7" s="1"/>
  <c r="V2292" i="5"/>
  <c r="W2292" s="1"/>
  <c r="M399" i="7" s="1"/>
  <c r="T2292" i="5"/>
  <c r="U2292" s="1"/>
  <c r="L399" i="7" s="1"/>
  <c r="R2292" i="5"/>
  <c r="S2292" s="1"/>
  <c r="K399" i="7" s="1"/>
  <c r="P2292" i="5"/>
  <c r="Q2292" s="1"/>
  <c r="J399" i="7" s="1"/>
  <c r="N2292" i="5"/>
  <c r="O2292" s="1"/>
  <c r="I399" i="7" s="1"/>
  <c r="L2292" i="5"/>
  <c r="M2292" s="1"/>
  <c r="H399" i="7" s="1"/>
  <c r="H2292" i="5"/>
  <c r="I2292" s="1"/>
  <c r="F399" i="7" s="1"/>
  <c r="F2292" i="5"/>
  <c r="G2292" s="1"/>
  <c r="E399" i="7" s="1"/>
  <c r="D2292" i="5"/>
  <c r="E2292" s="1"/>
  <c r="D399" i="7" s="1"/>
  <c r="V2291" i="5"/>
  <c r="W2291" s="1"/>
  <c r="M398" i="7" s="1"/>
  <c r="T2291" i="5"/>
  <c r="U2291" s="1"/>
  <c r="L398" i="7" s="1"/>
  <c r="R2291" i="5"/>
  <c r="S2291" s="1"/>
  <c r="K398" i="7" s="1"/>
  <c r="P2291" i="5"/>
  <c r="Q2291" s="1"/>
  <c r="J398" i="7" s="1"/>
  <c r="N2291" i="5"/>
  <c r="O2291" s="1"/>
  <c r="I398" i="7" s="1"/>
  <c r="L2291" i="5"/>
  <c r="M2291" s="1"/>
  <c r="H398" i="7" s="1"/>
  <c r="F2291" i="5"/>
  <c r="G2291" s="1"/>
  <c r="E398" i="7" s="1"/>
  <c r="D2291" i="5"/>
  <c r="E2291" s="1"/>
  <c r="D398" i="7" s="1"/>
  <c r="J2226" i="5"/>
  <c r="K2226" s="1"/>
  <c r="G376" i="7" s="1"/>
  <c r="J2231" i="5"/>
  <c r="K2231" s="1"/>
  <c r="G381" i="7" s="1"/>
  <c r="J2230" i="5"/>
  <c r="K2230" s="1"/>
  <c r="G380" i="7" s="1"/>
  <c r="J2229" i="5"/>
  <c r="K2229" s="1"/>
  <c r="G379" i="7" s="1"/>
  <c r="J2224" i="5"/>
  <c r="K2224" s="1"/>
  <c r="G374" i="7" s="1"/>
  <c r="J2223" i="5"/>
  <c r="K2223" s="1"/>
  <c r="G373" i="7" s="1"/>
  <c r="H2231" i="5"/>
  <c r="I2231" s="1"/>
  <c r="F381" i="7" s="1"/>
  <c r="H2227" i="5"/>
  <c r="I2227" s="1"/>
  <c r="F377" i="7" s="1"/>
  <c r="H2223" i="5"/>
  <c r="I2223" s="1"/>
  <c r="F373" i="7" s="1"/>
  <c r="L2231" i="5"/>
  <c r="M2231" s="1"/>
  <c r="H381" i="7" s="1"/>
  <c r="N2231" i="5"/>
  <c r="O2231" s="1"/>
  <c r="I381" i="7" s="1"/>
  <c r="R2231" i="5"/>
  <c r="S2231" s="1"/>
  <c r="K381" i="7" s="1"/>
  <c r="V2231" i="5"/>
  <c r="V2228" s="1"/>
  <c r="T2231"/>
  <c r="U2231" s="1"/>
  <c r="L381" i="7" s="1"/>
  <c r="P2231" i="5"/>
  <c r="Q2231" s="1"/>
  <c r="J381" i="7" s="1"/>
  <c r="V2230" i="5"/>
  <c r="W2230" s="1"/>
  <c r="M380" i="7" s="1"/>
  <c r="T2230" i="5"/>
  <c r="U2230" s="1"/>
  <c r="L380" i="7" s="1"/>
  <c r="R2230" i="5"/>
  <c r="S2230" s="1"/>
  <c r="K380" i="7" s="1"/>
  <c r="P2230" i="5"/>
  <c r="Q2230" s="1"/>
  <c r="J380" i="7" s="1"/>
  <c r="N2230" i="5"/>
  <c r="O2230" s="1"/>
  <c r="I380" i="7" s="1"/>
  <c r="L2230" i="5"/>
  <c r="M2230" s="1"/>
  <c r="H380" i="7" s="1"/>
  <c r="H2230" i="5"/>
  <c r="I2230" s="1"/>
  <c r="F380" i="7" s="1"/>
  <c r="F2230" i="5"/>
  <c r="G2230" s="1"/>
  <c r="E380" i="7" s="1"/>
  <c r="D2230" i="5"/>
  <c r="E2230" s="1"/>
  <c r="D380" i="7" s="1"/>
  <c r="V2229" i="5"/>
  <c r="W2229" s="1"/>
  <c r="M379" i="7" s="1"/>
  <c r="T2229" i="5"/>
  <c r="U2229" s="1"/>
  <c r="L379" i="7" s="1"/>
  <c r="R2229" i="5"/>
  <c r="S2229" s="1"/>
  <c r="K379" i="7" s="1"/>
  <c r="P2229" i="5"/>
  <c r="Q2229" s="1"/>
  <c r="J379" i="7" s="1"/>
  <c r="N2229" i="5"/>
  <c r="O2229" s="1"/>
  <c r="I379" i="7" s="1"/>
  <c r="L2229" i="5"/>
  <c r="M2229" s="1"/>
  <c r="H379" i="7" s="1"/>
  <c r="H2229" i="5"/>
  <c r="I2229" s="1"/>
  <c r="F379" i="7" s="1"/>
  <c r="F2229" i="5"/>
  <c r="G2229" s="1"/>
  <c r="E379" i="7" s="1"/>
  <c r="D2229" i="5"/>
  <c r="E2229" s="1"/>
  <c r="D379" i="7" s="1"/>
  <c r="V2227" i="5"/>
  <c r="W2227" s="1"/>
  <c r="M377" i="7" s="1"/>
  <c r="T2227" i="5"/>
  <c r="U2227" s="1"/>
  <c r="L377" i="7" s="1"/>
  <c r="R2227" i="5"/>
  <c r="S2227" s="1"/>
  <c r="K377" i="7" s="1"/>
  <c r="P2227" i="5"/>
  <c r="Q2227" s="1"/>
  <c r="J377" i="7" s="1"/>
  <c r="N2227" i="5"/>
  <c r="O2227" s="1"/>
  <c r="I377" i="7" s="1"/>
  <c r="L2227" i="5"/>
  <c r="M2227" s="1"/>
  <c r="H377" i="7" s="1"/>
  <c r="J2227" i="5"/>
  <c r="K2227" s="1"/>
  <c r="G377" i="7" s="1"/>
  <c r="F2227" i="5"/>
  <c r="G2227" s="1"/>
  <c r="E377" i="7" s="1"/>
  <c r="D2227" i="5"/>
  <c r="E2227" s="1"/>
  <c r="D377" i="7" s="1"/>
  <c r="V2226" i="5"/>
  <c r="W2226" s="1"/>
  <c r="M376" i="7" s="1"/>
  <c r="T2226" i="5"/>
  <c r="U2226" s="1"/>
  <c r="L376" i="7" s="1"/>
  <c r="R2226" i="5"/>
  <c r="S2226" s="1"/>
  <c r="K376" i="7" s="1"/>
  <c r="P2226" i="5"/>
  <c r="Q2226" s="1"/>
  <c r="J376" i="7" s="1"/>
  <c r="N2226" i="5"/>
  <c r="O2226" s="1"/>
  <c r="I376" i="7" s="1"/>
  <c r="L2226" i="5"/>
  <c r="M2226" s="1"/>
  <c r="H376" i="7" s="1"/>
  <c r="F2226" i="5"/>
  <c r="G2226" s="1"/>
  <c r="E376" i="7" s="1"/>
  <c r="D2226" i="5"/>
  <c r="E2226" s="1"/>
  <c r="D376" i="7" s="1"/>
  <c r="V2224" i="5"/>
  <c r="W2224" s="1"/>
  <c r="M374" i="7" s="1"/>
  <c r="T2224" i="5"/>
  <c r="U2224" s="1"/>
  <c r="L374" i="7" s="1"/>
  <c r="R2224" i="5"/>
  <c r="S2224" s="1"/>
  <c r="K374" i="7" s="1"/>
  <c r="P2224" i="5"/>
  <c r="Q2224" s="1"/>
  <c r="J374" i="7" s="1"/>
  <c r="N2224" i="5"/>
  <c r="O2224" s="1"/>
  <c r="I374" i="7" s="1"/>
  <c r="L2224" i="5"/>
  <c r="M2224" s="1"/>
  <c r="H374" i="7" s="1"/>
  <c r="H2224" i="5"/>
  <c r="I2224" s="1"/>
  <c r="F374" i="7" s="1"/>
  <c r="F2224" i="5"/>
  <c r="G2224" s="1"/>
  <c r="E374" i="7" s="1"/>
  <c r="D2224" i="5"/>
  <c r="E2224" s="1"/>
  <c r="D374" i="7" s="1"/>
  <c r="V2223" i="5"/>
  <c r="W2223" s="1"/>
  <c r="M373" i="7" s="1"/>
  <c r="T2223" i="5"/>
  <c r="U2223" s="1"/>
  <c r="L373" i="7" s="1"/>
  <c r="R2223" i="5"/>
  <c r="S2223" s="1"/>
  <c r="K373" i="7" s="1"/>
  <c r="P2223" i="5"/>
  <c r="Q2223" s="1"/>
  <c r="J373" i="7" s="1"/>
  <c r="N2223" i="5"/>
  <c r="O2223" s="1"/>
  <c r="I373" i="7" s="1"/>
  <c r="L2223" i="5"/>
  <c r="M2223" s="1"/>
  <c r="H373" i="7" s="1"/>
  <c r="F2223" i="5"/>
  <c r="G2223" s="1"/>
  <c r="E373" i="7" s="1"/>
  <c r="D2223" i="5"/>
  <c r="E2223" s="1"/>
  <c r="D373" i="7" s="1"/>
  <c r="F2099" i="5"/>
  <c r="G2099" s="1"/>
  <c r="E361" i="7" s="1"/>
  <c r="H2100" i="5"/>
  <c r="I2100" s="1"/>
  <c r="F362" i="7" s="1"/>
  <c r="F2100" i="5"/>
  <c r="G2100" s="1"/>
  <c r="E362" i="7" s="1"/>
  <c r="H2099" i="5"/>
  <c r="I2099" s="1"/>
  <c r="F361" i="7" s="1"/>
  <c r="F296" i="5"/>
  <c r="G296" s="1"/>
  <c r="E64" i="7" s="1"/>
  <c r="F293" i="5"/>
  <c r="G293" s="1"/>
  <c r="E61" i="7" s="1"/>
  <c r="F292" i="5"/>
  <c r="G292" s="1"/>
  <c r="E60" i="7" s="1"/>
  <c r="H296" i="5"/>
  <c r="I296" s="1"/>
  <c r="F64" i="7" s="1"/>
  <c r="H295" i="5"/>
  <c r="I295" s="1"/>
  <c r="F63" i="7" s="1"/>
  <c r="F295" i="5"/>
  <c r="G295" s="1"/>
  <c r="E63" i="7" s="1"/>
  <c r="H294" i="5"/>
  <c r="I294" s="1"/>
  <c r="F62" i="7" s="1"/>
  <c r="F294" i="5"/>
  <c r="G294" s="1"/>
  <c r="E62" i="7" s="1"/>
  <c r="H293" i="5"/>
  <c r="I293" s="1"/>
  <c r="F61" i="7" s="1"/>
  <c r="H292" i="5"/>
  <c r="I292" s="1"/>
  <c r="F60" i="7" s="1"/>
  <c r="F170" i="5"/>
  <c r="G170" s="1"/>
  <c r="E48" i="7" s="1"/>
  <c r="F169" i="5"/>
  <c r="G169" s="1"/>
  <c r="E47" i="7" s="1"/>
  <c r="F166" i="5"/>
  <c r="G166" s="1"/>
  <c r="E44" i="7" s="1"/>
  <c r="H167" i="5"/>
  <c r="I167" s="1"/>
  <c r="F45" i="7" s="1"/>
  <c r="F167" i="5"/>
  <c r="G167" s="1"/>
  <c r="E45" i="7" s="1"/>
  <c r="D167" i="5"/>
  <c r="E167" s="1"/>
  <c r="D45" i="7" s="1"/>
  <c r="H170" i="5"/>
  <c r="I170" s="1"/>
  <c r="F48" i="7" s="1"/>
  <c r="H169" i="5"/>
  <c r="I169" s="1"/>
  <c r="F47" i="7" s="1"/>
  <c r="H168" i="5"/>
  <c r="I168" s="1"/>
  <c r="F46" i="7" s="1"/>
  <c r="F168" i="5"/>
  <c r="G168" s="1"/>
  <c r="E46" i="7" s="1"/>
  <c r="H166" i="5"/>
  <c r="F94"/>
  <c r="G94" s="1"/>
  <c r="E30" i="7" s="1"/>
  <c r="F93" i="5"/>
  <c r="G93" s="1"/>
  <c r="E29" i="7" s="1"/>
  <c r="F19" i="5"/>
  <c r="G19" s="1"/>
  <c r="E16" i="7" s="1"/>
  <c r="F18" i="5"/>
  <c r="G18" s="1"/>
  <c r="E15" i="7" s="1"/>
  <c r="F16" i="5"/>
  <c r="G16" s="1"/>
  <c r="E13" i="7" s="1"/>
  <c r="F15" i="5"/>
  <c r="F20"/>
  <c r="G20" s="1"/>
  <c r="E17" i="7" s="1"/>
  <c r="F17" i="5"/>
  <c r="G17" s="1"/>
  <c r="E14" i="7" s="1"/>
  <c r="C51" i="6"/>
  <c r="B2769" i="5" s="1"/>
  <c r="T2719" s="1"/>
  <c r="B49" i="6"/>
  <c r="C50"/>
  <c r="C44"/>
  <c r="B431" i="7" s="1"/>
  <c r="C43" i="6"/>
  <c r="B415" i="7" s="1"/>
  <c r="C42" i="6"/>
  <c r="B2287" i="5" s="1"/>
  <c r="C40" i="6"/>
  <c r="B2219" i="5" s="1"/>
  <c r="B39" i="6"/>
  <c r="C47"/>
  <c r="B2635" i="5" s="1"/>
  <c r="C46" i="6"/>
  <c r="C37"/>
  <c r="B365" i="7" s="1"/>
  <c r="B36" i="6"/>
  <c r="C34"/>
  <c r="B2094" i="5" s="1"/>
  <c r="B357" i="7" s="1"/>
  <c r="C33" i="6"/>
  <c r="B2027" i="5" s="1"/>
  <c r="C32" i="6"/>
  <c r="B337" i="7" s="1"/>
  <c r="C31" i="6"/>
  <c r="B1884" i="5" s="1"/>
  <c r="C30" i="6"/>
  <c r="B1807" i="5" s="1"/>
  <c r="C29" i="6"/>
  <c r="B299" i="7" s="1"/>
  <c r="C28" i="6"/>
  <c r="B1519" i="5" s="1"/>
  <c r="C27" i="6"/>
  <c r="B1446" i="5" s="1"/>
  <c r="C26" i="6"/>
  <c r="B1323" i="5" s="1"/>
  <c r="C25" i="6"/>
  <c r="B1198" i="5" s="1"/>
  <c r="C24" i="6"/>
  <c r="B226" i="7" s="1"/>
  <c r="C23" i="6"/>
  <c r="B1047" i="5" s="1"/>
  <c r="B212" i="7" s="1"/>
  <c r="C22" i="6"/>
  <c r="B974" i="5" s="1"/>
  <c r="C21" i="6"/>
  <c r="B901" i="5" s="1"/>
  <c r="C20" i="6"/>
  <c r="B829" i="5" s="1"/>
  <c r="C19" i="6"/>
  <c r="B755" i="5" s="1"/>
  <c r="B157" i="7" s="1"/>
  <c r="C12" i="6"/>
  <c r="B364" i="5" s="1"/>
  <c r="C11" i="6"/>
  <c r="B56" i="7" s="1"/>
  <c r="C10" i="6"/>
  <c r="B40" i="7" s="1"/>
  <c r="C9" i="6"/>
  <c r="B25" i="7" s="1"/>
  <c r="C8" i="6"/>
  <c r="B10" i="5" s="1"/>
  <c r="B7" i="6"/>
  <c r="D4"/>
  <c r="B75" i="7"/>
  <c r="D2717" i="5"/>
  <c r="E2717" s="1"/>
  <c r="D498" i="7" s="1"/>
  <c r="D385" i="5"/>
  <c r="E385" s="1"/>
  <c r="M84" i="7" s="1"/>
  <c r="D384" i="5"/>
  <c r="D383"/>
  <c r="E383" s="1"/>
  <c r="M82" i="7" s="1"/>
  <c r="D382" i="5"/>
  <c r="E382" s="1"/>
  <c r="M81" i="7" s="1"/>
  <c r="D381" i="5"/>
  <c r="E381" s="1"/>
  <c r="M80" i="7" s="1"/>
  <c r="D380" i="5"/>
  <c r="E380" s="1"/>
  <c r="M79" i="7" s="1"/>
  <c r="D378" i="5"/>
  <c r="E378" s="1"/>
  <c r="M77" i="7" s="1"/>
  <c r="D376" i="5"/>
  <c r="E376" s="1"/>
  <c r="M75" i="7" s="1"/>
  <c r="D375" i="5"/>
  <c r="E375" s="1"/>
  <c r="M74" i="7" s="1"/>
  <c r="D374" i="5"/>
  <c r="E374" s="1"/>
  <c r="M73" i="7" s="1"/>
  <c r="D373" i="5"/>
  <c r="E373" s="1"/>
  <c r="M72" i="7" s="1"/>
  <c r="D369" i="5"/>
  <c r="D303"/>
  <c r="E303" s="1"/>
  <c r="M60" i="7" s="1"/>
  <c r="D177" i="5"/>
  <c r="E177" s="1"/>
  <c r="M44" i="7" s="1"/>
  <c r="D100" i="5"/>
  <c r="E100" s="1"/>
  <c r="M28" i="7" s="1"/>
  <c r="D27" i="5"/>
  <c r="E27" s="1"/>
  <c r="M12" i="7" s="1"/>
  <c r="B355"/>
  <c r="B354"/>
  <c r="B353"/>
  <c r="B352"/>
  <c r="B351"/>
  <c r="D2043" i="5"/>
  <c r="E2043" s="1"/>
  <c r="M351" i="7" s="1"/>
  <c r="D2042" i="5"/>
  <c r="E2042" s="1"/>
  <c r="M350" i="7" s="1"/>
  <c r="D2040" i="5"/>
  <c r="E2040" s="1"/>
  <c r="M348" i="7" s="1"/>
  <c r="B291"/>
  <c r="B290"/>
  <c r="B289"/>
  <c r="B276"/>
  <c r="B275"/>
  <c r="D1542" i="5"/>
  <c r="D1541"/>
  <c r="E1541" s="1"/>
  <c r="M297" i="7" s="1"/>
  <c r="D1540" i="5"/>
  <c r="E1540" s="1"/>
  <c r="M296" i="7" s="1"/>
  <c r="D1539" i="5"/>
  <c r="E1539" s="1"/>
  <c r="M295" i="7" s="1"/>
  <c r="D1538" i="5"/>
  <c r="E1538" s="1"/>
  <c r="M294" i="7" s="1"/>
  <c r="D1536" i="5"/>
  <c r="E1536" s="1"/>
  <c r="M292" i="7" s="1"/>
  <c r="D1534" i="5"/>
  <c r="E1534" s="1"/>
  <c r="M290" i="7" s="1"/>
  <c r="D1532" i="5"/>
  <c r="E1532" s="1"/>
  <c r="M288" i="7" s="1"/>
  <c r="D1531" i="5"/>
  <c r="E1531" s="1"/>
  <c r="M287" i="7" s="1"/>
  <c r="D1530" i="5"/>
  <c r="E1530" s="1"/>
  <c r="M286" i="7" s="1"/>
  <c r="D1468" i="5"/>
  <c r="D1467"/>
  <c r="E1467" s="1"/>
  <c r="M283" i="7" s="1"/>
  <c r="D1466" i="5"/>
  <c r="E1466" s="1"/>
  <c r="M282" i="7" s="1"/>
  <c r="D1465" i="5"/>
  <c r="E1465" s="1"/>
  <c r="M281" i="7" s="1"/>
  <c r="D1464" i="5"/>
  <c r="E1464" s="1"/>
  <c r="M280" i="7" s="1"/>
  <c r="D1462" i="5"/>
  <c r="E1462" s="1"/>
  <c r="M278" i="7" s="1"/>
  <c r="D1460" i="5"/>
  <c r="E1460" s="1"/>
  <c r="M276" i="7" s="1"/>
  <c r="D1458" i="5"/>
  <c r="E1458" s="1"/>
  <c r="M274" i="7" s="1"/>
  <c r="D1457" i="5"/>
  <c r="E1457" s="1"/>
  <c r="M273" i="7" s="1"/>
  <c r="D1456" i="5"/>
  <c r="E1456" s="1"/>
  <c r="M272" i="7" s="1"/>
  <c r="B217"/>
  <c r="B216"/>
  <c r="B203"/>
  <c r="B202"/>
  <c r="D1069" i="5"/>
  <c r="D1068"/>
  <c r="E1068" s="1"/>
  <c r="M224" i="7" s="1"/>
  <c r="D1067" i="5"/>
  <c r="E1067" s="1"/>
  <c r="M223" i="7" s="1"/>
  <c r="D1066" i="5"/>
  <c r="E1066" s="1"/>
  <c r="M222" i="7" s="1"/>
  <c r="D1065" i="5"/>
  <c r="E1065" s="1"/>
  <c r="M221" i="7" s="1"/>
  <c r="D1063" i="5"/>
  <c r="E1063" s="1"/>
  <c r="M219" i="7" s="1"/>
  <c r="D1061" i="5"/>
  <c r="E1061" s="1"/>
  <c r="M217" i="7" s="1"/>
  <c r="D1059" i="5"/>
  <c r="E1059" s="1"/>
  <c r="M215" i="7" s="1"/>
  <c r="D1058" i="5"/>
  <c r="E1058" s="1"/>
  <c r="M214" i="7" s="1"/>
  <c r="D1057" i="5"/>
  <c r="E1057" s="1"/>
  <c r="M213" i="7" s="1"/>
  <c r="D996" i="5"/>
  <c r="D995"/>
  <c r="E995" s="1"/>
  <c r="M210" i="7" s="1"/>
  <c r="D994" i="5"/>
  <c r="E994" s="1"/>
  <c r="M209" i="7" s="1"/>
  <c r="D993" i="5"/>
  <c r="E993" s="1"/>
  <c r="M208" i="7" s="1"/>
  <c r="D992" i="5"/>
  <c r="E992" s="1"/>
  <c r="M207" i="7" s="1"/>
  <c r="D990" i="5"/>
  <c r="E990" s="1"/>
  <c r="M205" i="7" s="1"/>
  <c r="D988" i="5"/>
  <c r="E988" s="1"/>
  <c r="M203" i="7" s="1"/>
  <c r="D986" i="5"/>
  <c r="E986" s="1"/>
  <c r="M201" i="7" s="1"/>
  <c r="D985" i="5"/>
  <c r="E985" s="1"/>
  <c r="M200" i="7" s="1"/>
  <c r="D984" i="5"/>
  <c r="E984" s="1"/>
  <c r="M199" i="7" s="1"/>
  <c r="J1890" i="5"/>
  <c r="K1890" s="1"/>
  <c r="G330" i="7" s="1"/>
  <c r="J1892" i="5"/>
  <c r="K1892" s="1"/>
  <c r="G332" i="7" s="1"/>
  <c r="J1893" i="5"/>
  <c r="K1893" s="1"/>
  <c r="G333" i="7" s="1"/>
  <c r="J1894" i="5"/>
  <c r="K1894" s="1"/>
  <c r="G334" i="7" s="1"/>
  <c r="J1895" i="5"/>
  <c r="K1895" s="1"/>
  <c r="G335" i="7" s="1"/>
  <c r="J1889" i="5"/>
  <c r="K1889" s="1"/>
  <c r="G329" i="7" s="1"/>
  <c r="J1814" i="5"/>
  <c r="K1814" s="1"/>
  <c r="G318" i="7" s="1"/>
  <c r="J1815" i="5"/>
  <c r="K1815" s="1"/>
  <c r="G319" i="7" s="1"/>
  <c r="J1816" i="5"/>
  <c r="K1816" s="1"/>
  <c r="G320" i="7" s="1"/>
  <c r="B189"/>
  <c r="B188"/>
  <c r="B176"/>
  <c r="B175"/>
  <c r="B163"/>
  <c r="B162"/>
  <c r="B161"/>
  <c r="B150"/>
  <c r="B149"/>
  <c r="B148"/>
  <c r="D850" i="5"/>
  <c r="D849"/>
  <c r="E849" s="1"/>
  <c r="M182" i="7" s="1"/>
  <c r="D848" i="5"/>
  <c r="E848" s="1"/>
  <c r="M181" i="7" s="1"/>
  <c r="D847" i="5"/>
  <c r="E847" s="1"/>
  <c r="M180" i="7" s="1"/>
  <c r="D846" i="5"/>
  <c r="E846" s="1"/>
  <c r="M179" i="7" s="1"/>
  <c r="D844" i="5"/>
  <c r="E844" s="1"/>
  <c r="M177" i="7" s="1"/>
  <c r="D842" i="5"/>
  <c r="E842" s="1"/>
  <c r="M175" i="7" s="1"/>
  <c r="D841" i="5"/>
  <c r="E841" s="1"/>
  <c r="M174" i="7" s="1"/>
  <c r="D840" i="5"/>
  <c r="E840" s="1"/>
  <c r="M173" i="7" s="1"/>
  <c r="D839" i="5"/>
  <c r="E839" s="1"/>
  <c r="M172" i="7" s="1"/>
  <c r="D778" i="5"/>
  <c r="D777"/>
  <c r="E777" s="1"/>
  <c r="M169" i="7" s="1"/>
  <c r="D776" i="5"/>
  <c r="E776" s="1"/>
  <c r="M168" i="7" s="1"/>
  <c r="D775" i="5"/>
  <c r="E775" s="1"/>
  <c r="M167" i="7" s="1"/>
  <c r="D774" i="5"/>
  <c r="E774" s="1"/>
  <c r="M166" i="7" s="1"/>
  <c r="D772" i="5"/>
  <c r="E772" s="1"/>
  <c r="M164" i="7" s="1"/>
  <c r="D770" i="5"/>
  <c r="E770" s="1"/>
  <c r="M162" i="7" s="1"/>
  <c r="D768" i="5"/>
  <c r="E768" s="1"/>
  <c r="M160" i="7" s="1"/>
  <c r="D767" i="5"/>
  <c r="E767" s="1"/>
  <c r="M159" i="7" s="1"/>
  <c r="D766" i="5"/>
  <c r="E766" s="1"/>
  <c r="M158" i="7" s="1"/>
  <c r="J1891" i="5"/>
  <c r="K1891" s="1"/>
  <c r="G331" i="7" s="1"/>
  <c r="J1813" i="5"/>
  <c r="K1813" s="1"/>
  <c r="G317" i="7" s="1"/>
  <c r="J1817" i="5"/>
  <c r="K1817" s="1"/>
  <c r="G321" i="7" s="1"/>
  <c r="J1818" i="5"/>
  <c r="K1818" s="1"/>
  <c r="G322" i="7" s="1"/>
  <c r="J1812" i="5"/>
  <c r="K1812" s="1"/>
  <c r="G316" i="7" s="1"/>
  <c r="D923" i="5"/>
  <c r="D922"/>
  <c r="E922" s="1"/>
  <c r="M196" i="7" s="1"/>
  <c r="D921" i="5"/>
  <c r="E921" s="1"/>
  <c r="M195" i="7" s="1"/>
  <c r="D920" i="5"/>
  <c r="E920" s="1"/>
  <c r="M194" i="7" s="1"/>
  <c r="D919" i="5"/>
  <c r="E919" s="1"/>
  <c r="M193" i="7" s="1"/>
  <c r="D917" i="5"/>
  <c r="E917" s="1"/>
  <c r="M191" i="7" s="1"/>
  <c r="D915" i="5"/>
  <c r="E915" s="1"/>
  <c r="M189" i="7" s="1"/>
  <c r="D913" i="5"/>
  <c r="E913" s="1"/>
  <c r="M187" i="7" s="1"/>
  <c r="D912" i="5"/>
  <c r="E912" s="1"/>
  <c r="M186" i="7" s="1"/>
  <c r="D911" i="5"/>
  <c r="E911" s="1"/>
  <c r="M185" i="7" s="1"/>
  <c r="D16" i="5"/>
  <c r="E16" s="1"/>
  <c r="D13" i="7" s="1"/>
  <c r="D17" i="5"/>
  <c r="E17" s="1"/>
  <c r="D14" i="7" s="1"/>
  <c r="D18" i="5"/>
  <c r="E18" s="1"/>
  <c r="D15" i="7" s="1"/>
  <c r="D19" i="5"/>
  <c r="E19" s="1"/>
  <c r="D16" i="7" s="1"/>
  <c r="D20" i="5"/>
  <c r="E20" s="1"/>
  <c r="D17" i="7" s="1"/>
  <c r="D24" i="5"/>
  <c r="E24" s="1"/>
  <c r="M9" i="7" s="1"/>
  <c r="D25" i="5"/>
  <c r="E25" s="1"/>
  <c r="M10" i="7" s="1"/>
  <c r="D26" i="5"/>
  <c r="E26" s="1"/>
  <c r="M11" i="7" s="1"/>
  <c r="D28" i="5"/>
  <c r="E28" s="1"/>
  <c r="M13" i="7" s="1"/>
  <c r="D30" i="5"/>
  <c r="E30" s="1"/>
  <c r="M15" i="7" s="1"/>
  <c r="D32" i="5"/>
  <c r="E32" s="1"/>
  <c r="M17" i="7" s="1"/>
  <c r="D33" i="5"/>
  <c r="E33" s="1"/>
  <c r="M18" i="7" s="1"/>
  <c r="D34" i="5"/>
  <c r="E34" s="1"/>
  <c r="M19" i="7" s="1"/>
  <c r="D35" i="5"/>
  <c r="E35" s="1"/>
  <c r="M20" i="7" s="1"/>
  <c r="D36" i="5"/>
  <c r="D37"/>
  <c r="E37" s="1"/>
  <c r="M22" i="7" s="1"/>
  <c r="D93" i="5"/>
  <c r="E93" s="1"/>
  <c r="D29" i="7" s="1"/>
  <c r="D94" i="5"/>
  <c r="E94" s="1"/>
  <c r="D30" i="7" s="1"/>
  <c r="D98" i="5"/>
  <c r="E98" s="1"/>
  <c r="M26" i="7" s="1"/>
  <c r="D99" i="5"/>
  <c r="E99" s="1"/>
  <c r="M27" i="7" s="1"/>
  <c r="D101" i="5"/>
  <c r="E101" s="1"/>
  <c r="M29" i="7" s="1"/>
  <c r="D103" i="5"/>
  <c r="E103" s="1"/>
  <c r="M31" i="7" s="1"/>
  <c r="D105" i="5"/>
  <c r="E105" s="1"/>
  <c r="M33" i="7" s="1"/>
  <c r="D106" i="5"/>
  <c r="E106" s="1"/>
  <c r="M34" i="7" s="1"/>
  <c r="D107" i="5"/>
  <c r="E107" s="1"/>
  <c r="M35" i="7" s="1"/>
  <c r="D108" i="5"/>
  <c r="E108" s="1"/>
  <c r="M36" i="7" s="1"/>
  <c r="D110" i="5"/>
  <c r="E110" s="1"/>
  <c r="M38" i="7" s="1"/>
  <c r="D166" i="5"/>
  <c r="E166" s="1"/>
  <c r="D44" i="7" s="1"/>
  <c r="D168" i="5"/>
  <c r="E168" s="1"/>
  <c r="D46" i="7" s="1"/>
  <c r="D169" i="5"/>
  <c r="E169" s="1"/>
  <c r="D47" i="7" s="1"/>
  <c r="D170" i="5"/>
  <c r="E170" s="1"/>
  <c r="D48" i="7" s="1"/>
  <c r="D174" i="5"/>
  <c r="E174" s="1"/>
  <c r="M41" i="7" s="1"/>
  <c r="D175" i="5"/>
  <c r="E175" s="1"/>
  <c r="M42" i="7" s="1"/>
  <c r="D176" i="5"/>
  <c r="E176" s="1"/>
  <c r="M43" i="7" s="1"/>
  <c r="D178" i="5"/>
  <c r="E178" s="1"/>
  <c r="M45" i="7" s="1"/>
  <c r="E180" i="5"/>
  <c r="M47" i="7" s="1"/>
  <c r="D182" i="5"/>
  <c r="E182" s="1"/>
  <c r="M49" i="7" s="1"/>
  <c r="D183" i="5"/>
  <c r="E183" s="1"/>
  <c r="M50" i="7" s="1"/>
  <c r="D184" i="5"/>
  <c r="E184" s="1"/>
  <c r="M51" i="7" s="1"/>
  <c r="D185" i="5"/>
  <c r="E185" s="1"/>
  <c r="M52" i="7" s="1"/>
  <c r="D186" i="5"/>
  <c r="D187"/>
  <c r="E187" s="1"/>
  <c r="M54" i="7" s="1"/>
  <c r="D292" i="5"/>
  <c r="E292" s="1"/>
  <c r="D60" i="7" s="1"/>
  <c r="D293" i="5"/>
  <c r="E293" s="1"/>
  <c r="D61" i="7" s="1"/>
  <c r="D294" i="5"/>
  <c r="E294" s="1"/>
  <c r="D62" i="7" s="1"/>
  <c r="D295" i="5"/>
  <c r="E295" s="1"/>
  <c r="D63" i="7" s="1"/>
  <c r="D296" i="5"/>
  <c r="E296" s="1"/>
  <c r="D64" i="7" s="1"/>
  <c r="D300" i="5"/>
  <c r="E300" s="1"/>
  <c r="M57" i="7" s="1"/>
  <c r="D301" i="5"/>
  <c r="E301" s="1"/>
  <c r="M58" i="7" s="1"/>
  <c r="D302" i="5"/>
  <c r="E302" s="1"/>
  <c r="M59" i="7" s="1"/>
  <c r="D304" i="5"/>
  <c r="E304" s="1"/>
  <c r="M61" i="7" s="1"/>
  <c r="D306" i="5"/>
  <c r="E306" s="1"/>
  <c r="M63" i="7" s="1"/>
  <c r="D308" i="5"/>
  <c r="E308" s="1"/>
  <c r="M65" i="7" s="1"/>
  <c r="D309" i="5"/>
  <c r="E309" s="1"/>
  <c r="M66" i="7" s="1"/>
  <c r="D310" i="5"/>
  <c r="E310" s="1"/>
  <c r="M67" i="7" s="1"/>
  <c r="D311" i="5"/>
  <c r="E311" s="1"/>
  <c r="M68" i="7" s="1"/>
  <c r="D312" i="5"/>
  <c r="D313"/>
  <c r="E313" s="1"/>
  <c r="M70" i="7" s="1"/>
  <c r="D693" i="5"/>
  <c r="E693" s="1"/>
  <c r="M145" i="7" s="1"/>
  <c r="D694" i="5"/>
  <c r="E694" s="1"/>
  <c r="M146" i="7" s="1"/>
  <c r="D695" i="5"/>
  <c r="E695" s="1"/>
  <c r="M147" i="7" s="1"/>
  <c r="D696" i="5"/>
  <c r="E696" s="1"/>
  <c r="M148" i="7" s="1"/>
  <c r="D698" i="5"/>
  <c r="E698" s="1"/>
  <c r="M150" i="7" s="1"/>
  <c r="D700" i="5"/>
  <c r="E700" s="1"/>
  <c r="M152" i="7" s="1"/>
  <c r="D701" i="5"/>
  <c r="E701" s="1"/>
  <c r="M153" i="7" s="1"/>
  <c r="D702" i="5"/>
  <c r="E702" s="1"/>
  <c r="M154" i="7" s="1"/>
  <c r="D703" i="5"/>
  <c r="E703" s="1"/>
  <c r="M155" i="7" s="1"/>
  <c r="D704" i="5"/>
  <c r="D1134"/>
  <c r="E1134" s="1"/>
  <c r="M227" i="7" s="1"/>
  <c r="D1135" i="5"/>
  <c r="E1135" s="1"/>
  <c r="M228" i="7" s="1"/>
  <c r="D1136" i="5"/>
  <c r="E1136" s="1"/>
  <c r="M229" i="7" s="1"/>
  <c r="D1137" i="5"/>
  <c r="E1137" s="1"/>
  <c r="M230" i="7" s="1"/>
  <c r="D1139" i="5"/>
  <c r="E1139" s="1"/>
  <c r="M232" i="7" s="1"/>
  <c r="D1141" i="5"/>
  <c r="E1141" s="1"/>
  <c r="M234" i="7" s="1"/>
  <c r="D1143" i="5"/>
  <c r="E1143" s="1"/>
  <c r="M236" i="7" s="1"/>
  <c r="D1144" i="5"/>
  <c r="E1144" s="1"/>
  <c r="M237" i="7" s="1"/>
  <c r="D1145" i="5"/>
  <c r="E1145" s="1"/>
  <c r="M238" i="7" s="1"/>
  <c r="D1146" i="5"/>
  <c r="E1146" s="1"/>
  <c r="M239" i="7" s="1"/>
  <c r="D1147" i="5"/>
  <c r="D1212"/>
  <c r="E1212" s="1"/>
  <c r="M242" i="7" s="1"/>
  <c r="D1213" i="5"/>
  <c r="E1213" s="1"/>
  <c r="M243" i="7" s="1"/>
  <c r="D1214" i="5"/>
  <c r="E1214" s="1"/>
  <c r="M244" i="7" s="1"/>
  <c r="D1215" i="5"/>
  <c r="E1215" s="1"/>
  <c r="M245" i="7" s="1"/>
  <c r="D1217" i="5"/>
  <c r="E1217" s="1"/>
  <c r="M247" i="7" s="1"/>
  <c r="D1219" i="5"/>
  <c r="E1219" s="1"/>
  <c r="M249" i="7" s="1"/>
  <c r="D1221" i="5"/>
  <c r="E1221" s="1"/>
  <c r="M251" i="7" s="1"/>
  <c r="D1222" i="5"/>
  <c r="E1222" s="1"/>
  <c r="M252" i="7" s="1"/>
  <c r="D1223" i="5"/>
  <c r="E1223" s="1"/>
  <c r="M253" i="7" s="1"/>
  <c r="D1224" i="5"/>
  <c r="E1224" s="1"/>
  <c r="M254" i="7" s="1"/>
  <c r="D1225" i="5"/>
  <c r="D1336"/>
  <c r="E1336" s="1"/>
  <c r="M257" i="7" s="1"/>
  <c r="D1337" i="5"/>
  <c r="E1337" s="1"/>
  <c r="M258" i="7" s="1"/>
  <c r="D1338" i="5"/>
  <c r="E1338" s="1"/>
  <c r="M259" i="7" s="1"/>
  <c r="D1339" i="5"/>
  <c r="E1339" s="1"/>
  <c r="M260" i="7" s="1"/>
  <c r="D1341" i="5"/>
  <c r="E1341" s="1"/>
  <c r="M262" i="7" s="1"/>
  <c r="D1343" i="5"/>
  <c r="E1343" s="1"/>
  <c r="M264" i="7" s="1"/>
  <c r="D1345" i="5"/>
  <c r="E1345" s="1"/>
  <c r="M266" i="7" s="1"/>
  <c r="D1346" i="5"/>
  <c r="E1346" s="1"/>
  <c r="M267" i="7" s="1"/>
  <c r="D1347" i="5"/>
  <c r="E1347" s="1"/>
  <c r="M268" i="7" s="1"/>
  <c r="D1348" i="5"/>
  <c r="E1348" s="1"/>
  <c r="M269" i="7" s="1"/>
  <c r="D1349" i="5"/>
  <c r="D1739"/>
  <c r="E1739" s="1"/>
  <c r="D303" i="7" s="1"/>
  <c r="D1740" i="5"/>
  <c r="E1740" s="1"/>
  <c r="D304" i="7" s="1"/>
  <c r="D1741" i="5"/>
  <c r="E1741" s="1"/>
  <c r="D305" i="7" s="1"/>
  <c r="D1745" i="5"/>
  <c r="E1745" s="1"/>
  <c r="M300" i="7" s="1"/>
  <c r="D1748" i="5"/>
  <c r="E1748" s="1"/>
  <c r="M303" i="7" s="1"/>
  <c r="D1750" i="5"/>
  <c r="E1750" s="1"/>
  <c r="M305" i="7" s="1"/>
  <c r="D1752" i="5"/>
  <c r="E1752" s="1"/>
  <c r="M307" i="7" s="1"/>
  <c r="D1753" i="5"/>
  <c r="E1753" s="1"/>
  <c r="M308" i="7" s="1"/>
  <c r="D1754" i="5"/>
  <c r="E1754" s="1"/>
  <c r="M309" i="7" s="1"/>
  <c r="D1756" i="5"/>
  <c r="E1756" s="1"/>
  <c r="M311" i="7" s="1"/>
  <c r="D1812" i="5"/>
  <c r="E1812" s="1"/>
  <c r="D316" i="7" s="1"/>
  <c r="D1813" i="5"/>
  <c r="E1813" s="1"/>
  <c r="D317" i="7" s="1"/>
  <c r="D1814" i="5"/>
  <c r="E1814" s="1"/>
  <c r="D318" i="7" s="1"/>
  <c r="D1815" i="5"/>
  <c r="E1815" s="1"/>
  <c r="D319" i="7" s="1"/>
  <c r="D1816" i="5"/>
  <c r="E1816" s="1"/>
  <c r="D320" i="7" s="1"/>
  <c r="D1817" i="5"/>
  <c r="E1817" s="1"/>
  <c r="D321" i="7" s="1"/>
  <c r="D1818" i="5"/>
  <c r="E1818" s="1"/>
  <c r="D322" i="7" s="1"/>
  <c r="D1822" i="5"/>
  <c r="E1822" s="1"/>
  <c r="M313" i="7" s="1"/>
  <c r="D1823" i="5"/>
  <c r="E1823" s="1"/>
  <c r="M314" i="7" s="1"/>
  <c r="D1824" i="5"/>
  <c r="E1824" s="1"/>
  <c r="M315" i="7" s="1"/>
  <c r="D1825" i="5"/>
  <c r="E1825" s="1"/>
  <c r="M316" i="7" s="1"/>
  <c r="D1827" i="5"/>
  <c r="E1827" s="1"/>
  <c r="M318" i="7" s="1"/>
  <c r="D1829" i="5"/>
  <c r="E1829" s="1"/>
  <c r="M320" i="7" s="1"/>
  <c r="D1830" i="5"/>
  <c r="E1830" s="1"/>
  <c r="M321" i="7" s="1"/>
  <c r="D1831" i="5"/>
  <c r="E1831" s="1"/>
  <c r="M322" i="7" s="1"/>
  <c r="D1832" i="5"/>
  <c r="D1833"/>
  <c r="E1833" s="1"/>
  <c r="M324" i="7" s="1"/>
  <c r="D1889" i="5"/>
  <c r="E1889" s="1"/>
  <c r="D329" i="7" s="1"/>
  <c r="D1890" i="5"/>
  <c r="E1890" s="1"/>
  <c r="D330" i="7" s="1"/>
  <c r="D1891" i="5"/>
  <c r="E1891" s="1"/>
  <c r="D331" i="7" s="1"/>
  <c r="D1892" i="5"/>
  <c r="E1892" s="1"/>
  <c r="D332" i="7" s="1"/>
  <c r="D1893" i="5"/>
  <c r="E1893" s="1"/>
  <c r="D333" i="7" s="1"/>
  <c r="D1894" i="5"/>
  <c r="E1894" s="1"/>
  <c r="D334" i="7" s="1"/>
  <c r="D1895" i="5"/>
  <c r="E1895" s="1"/>
  <c r="D335" i="7" s="1"/>
  <c r="D1899" i="5"/>
  <c r="E1899" s="1"/>
  <c r="M326" i="7" s="1"/>
  <c r="D1900" i="5"/>
  <c r="E1900" s="1"/>
  <c r="M327" i="7" s="1"/>
  <c r="D1901" i="5"/>
  <c r="E1901" s="1"/>
  <c r="M328" i="7" s="1"/>
  <c r="D1903" i="5"/>
  <c r="E1903" s="1"/>
  <c r="M330" i="7" s="1"/>
  <c r="D1905" i="5"/>
  <c r="E1905" s="1"/>
  <c r="M332" i="7" s="1"/>
  <c r="D1906" i="5"/>
  <c r="E1906" s="1"/>
  <c r="M333" i="7" s="1"/>
  <c r="D1907" i="5"/>
  <c r="E1907" s="1"/>
  <c r="M334" i="7" s="1"/>
  <c r="D1908" i="5"/>
  <c r="D1964"/>
  <c r="E1964" s="1"/>
  <c r="D341" i="7" s="1"/>
  <c r="D1965" i="5"/>
  <c r="E1965" s="1"/>
  <c r="D342" i="7" s="1"/>
  <c r="D1966" i="5"/>
  <c r="E1966" s="1"/>
  <c r="D343" i="7" s="1"/>
  <c r="D1967" i="5"/>
  <c r="E1967" s="1"/>
  <c r="D344" i="7" s="1"/>
  <c r="D1968" i="5"/>
  <c r="E1968" s="1"/>
  <c r="D345" i="7" s="1"/>
  <c r="D1972" i="5"/>
  <c r="E1972" s="1"/>
  <c r="M338" i="7" s="1"/>
  <c r="D1973" i="5"/>
  <c r="E1973" s="1"/>
  <c r="M339" i="7" s="1"/>
  <c r="D1974" i="5"/>
  <c r="E1974" s="1"/>
  <c r="M340" i="7" s="1"/>
  <c r="D1975" i="5"/>
  <c r="E1975" s="1"/>
  <c r="M341" i="7" s="1"/>
  <c r="D1976" i="5"/>
  <c r="E1976" s="1"/>
  <c r="M342" i="7" s="1"/>
  <c r="D1977" i="5"/>
  <c r="E1977" s="1"/>
  <c r="M343" i="7" s="1"/>
  <c r="D2099" i="5"/>
  <c r="E2099" s="1"/>
  <c r="D361" i="7" s="1"/>
  <c r="D2100" i="5"/>
  <c r="E2100" s="1"/>
  <c r="D362" i="7" s="1"/>
  <c r="D2104" i="5"/>
  <c r="E2104" s="1"/>
  <c r="M358" i="7" s="1"/>
  <c r="D2105" i="5"/>
  <c r="E2105" s="1"/>
  <c r="M359" i="7" s="1"/>
  <c r="D2106" i="5"/>
  <c r="E2106" s="1"/>
  <c r="M360" i="7" s="1"/>
  <c r="D2107" i="5"/>
  <c r="E2107" s="1"/>
  <c r="M361" i="7" s="1"/>
  <c r="D2108" i="5"/>
  <c r="E2108" s="1"/>
  <c r="M362" i="7" s="1"/>
  <c r="D2109" i="5"/>
  <c r="E2109" s="1"/>
  <c r="M363" i="7" s="1"/>
  <c r="D2168" i="5"/>
  <c r="E2168" s="1"/>
  <c r="M366" i="7" s="1"/>
  <c r="D2235" i="5"/>
  <c r="E2235" s="1"/>
  <c r="D383" i="7" s="1"/>
  <c r="D2236" i="5"/>
  <c r="E2236" s="1"/>
  <c r="D384" i="7" s="1"/>
  <c r="D2308" i="5"/>
  <c r="E2308" s="1"/>
  <c r="D413" i="7" s="1"/>
  <c r="D2376" i="5"/>
  <c r="E2376" s="1"/>
  <c r="D429" i="7" s="1"/>
  <c r="D2491" i="5"/>
  <c r="D2655"/>
  <c r="E2655" s="1"/>
  <c r="M477" i="7" s="1"/>
  <c r="D2656" i="5"/>
  <c r="E2656" s="1"/>
  <c r="M478" i="7" s="1"/>
  <c r="D2657" i="5"/>
  <c r="E2657" s="1"/>
  <c r="M479" i="7" s="1"/>
  <c r="D2658" i="5"/>
  <c r="E2658" s="1"/>
  <c r="M480" i="7" s="1"/>
  <c r="D2659" i="5"/>
  <c r="E2659" s="1"/>
  <c r="M481" i="7" s="1"/>
  <c r="D2660" i="5"/>
  <c r="E2660" s="1"/>
  <c r="M482" i="7" s="1"/>
  <c r="D2714" i="5"/>
  <c r="E2714" s="1"/>
  <c r="D495" i="7" s="1"/>
  <c r="D2715" i="5"/>
  <c r="E2715" s="1"/>
  <c r="D496" i="7" s="1"/>
  <c r="D2716" i="5"/>
  <c r="E2716" s="1"/>
  <c r="D497" i="7" s="1"/>
  <c r="D2718" i="5"/>
  <c r="E2718" s="1"/>
  <c r="D499" i="7" s="1"/>
  <c r="D2772" i="5"/>
  <c r="E2772" s="1"/>
  <c r="D503" i="7" s="1"/>
  <c r="D2773" i="5"/>
  <c r="E2773" s="1"/>
  <c r="D504" i="7" s="1"/>
  <c r="D2774" i="5"/>
  <c r="E2774" s="1"/>
  <c r="D506" i="7" s="1"/>
  <c r="D2775" i="5"/>
  <c r="E2775" s="1"/>
  <c r="D508" i="7" s="1"/>
  <c r="L471"/>
  <c r="F2231" i="5"/>
  <c r="G2231" s="1"/>
  <c r="E381" i="7" s="1"/>
  <c r="D2231" i="5"/>
  <c r="E2231" s="1"/>
  <c r="D381" i="7" s="1"/>
  <c r="H1739" i="5"/>
  <c r="I1739" s="1"/>
  <c r="F303" i="7" s="1"/>
  <c r="H1740" i="5"/>
  <c r="I1740" s="1"/>
  <c r="F304" i="7" s="1"/>
  <c r="H1741" i="5"/>
  <c r="I1741" s="1"/>
  <c r="F305" i="7" s="1"/>
  <c r="F1740" i="5"/>
  <c r="G1740" s="1"/>
  <c r="E304" i="7" s="1"/>
  <c r="B264"/>
  <c r="B263"/>
  <c r="B262"/>
  <c r="B261"/>
  <c r="B260"/>
  <c r="F1739" i="5"/>
  <c r="G1739" s="1"/>
  <c r="E303" i="7" s="1"/>
  <c r="H1895" i="5"/>
  <c r="I1895" s="1"/>
  <c r="F335" i="7" s="1"/>
  <c r="H1894" i="5"/>
  <c r="I1894" s="1"/>
  <c r="F334" i="7" s="1"/>
  <c r="H1893" i="5"/>
  <c r="I1893" s="1"/>
  <c r="F333" i="7" s="1"/>
  <c r="H1892" i="5"/>
  <c r="I1892" s="1"/>
  <c r="F332" i="7" s="1"/>
  <c r="H1891" i="5"/>
  <c r="I1891" s="1"/>
  <c r="F331" i="7" s="1"/>
  <c r="H1890" i="5"/>
  <c r="I1890" s="1"/>
  <c r="F330" i="7" s="1"/>
  <c r="H1889" i="5"/>
  <c r="I1889" s="1"/>
  <c r="F329" i="7" s="1"/>
  <c r="F1895" i="5"/>
  <c r="G1895" s="1"/>
  <c r="E335" i="7" s="1"/>
  <c r="F1894" i="5"/>
  <c r="G1894" s="1"/>
  <c r="E334" i="7" s="1"/>
  <c r="F1893" i="5"/>
  <c r="G1893" s="1"/>
  <c r="E333" i="7" s="1"/>
  <c r="F1892" i="5"/>
  <c r="G1892" s="1"/>
  <c r="E332" i="7" s="1"/>
  <c r="F1891" i="5"/>
  <c r="G1891" s="1"/>
  <c r="E331" i="7" s="1"/>
  <c r="F1890" i="5"/>
  <c r="G1890" s="1"/>
  <c r="E330" i="7" s="1"/>
  <c r="F1889" i="5"/>
  <c r="G1889" s="1"/>
  <c r="E329" i="7" s="1"/>
  <c r="H1818" i="5"/>
  <c r="I1818" s="1"/>
  <c r="F322" i="7" s="1"/>
  <c r="H1817" i="5"/>
  <c r="I1817" s="1"/>
  <c r="F321" i="7" s="1"/>
  <c r="H1816" i="5"/>
  <c r="I1816" s="1"/>
  <c r="F320" i="7" s="1"/>
  <c r="H1815" i="5"/>
  <c r="I1815" s="1"/>
  <c r="F319" i="7" s="1"/>
  <c r="H1814" i="5"/>
  <c r="I1814" s="1"/>
  <c r="F318" i="7" s="1"/>
  <c r="H1813" i="5"/>
  <c r="I1813" s="1"/>
  <c r="F317" i="7" s="1"/>
  <c r="H1812" i="5"/>
  <c r="I1812" s="1"/>
  <c r="F316" i="7" s="1"/>
  <c r="F1818" i="5"/>
  <c r="G1818" s="1"/>
  <c r="E322" i="7" s="1"/>
  <c r="F1817" i="5"/>
  <c r="G1817" s="1"/>
  <c r="E321" i="7" s="1"/>
  <c r="F1816" i="5"/>
  <c r="G1816" s="1"/>
  <c r="E320" i="7" s="1"/>
  <c r="F1815" i="5"/>
  <c r="G1815" s="1"/>
  <c r="E319" i="7" s="1"/>
  <c r="F1814" i="5"/>
  <c r="G1814" s="1"/>
  <c r="E318" i="7" s="1"/>
  <c r="F1813" i="5"/>
  <c r="G1813" s="1"/>
  <c r="E317" i="7" s="1"/>
  <c r="F1812" i="5"/>
  <c r="G1812" s="1"/>
  <c r="E316" i="7" s="1"/>
  <c r="B250"/>
  <c r="B249"/>
  <c r="B248"/>
  <c r="B247"/>
  <c r="B246"/>
  <c r="B235"/>
  <c r="B234"/>
  <c r="B233"/>
  <c r="L4"/>
  <c r="L3"/>
  <c r="L2"/>
  <c r="B335"/>
  <c r="B334"/>
  <c r="B333"/>
  <c r="B332"/>
  <c r="B331"/>
  <c r="B330"/>
  <c r="B322"/>
  <c r="B321"/>
  <c r="B320"/>
  <c r="B319"/>
  <c r="B318"/>
  <c r="B317"/>
  <c r="B232"/>
  <c r="B231"/>
  <c r="B230"/>
  <c r="B64"/>
  <c r="B63"/>
  <c r="B62"/>
  <c r="B362"/>
  <c r="B361"/>
  <c r="B345"/>
  <c r="B344"/>
  <c r="B343"/>
  <c r="B342"/>
  <c r="B341"/>
  <c r="B329"/>
  <c r="B316"/>
  <c r="B305"/>
  <c r="B304"/>
  <c r="B303"/>
  <c r="B245"/>
  <c r="B61"/>
  <c r="B60"/>
  <c r="B48"/>
  <c r="B47"/>
  <c r="B46"/>
  <c r="B45"/>
  <c r="B44"/>
  <c r="B30"/>
  <c r="B29"/>
  <c r="B17"/>
  <c r="B16"/>
  <c r="B15"/>
  <c r="B14"/>
  <c r="B13"/>
  <c r="B12"/>
  <c r="B2577" i="5"/>
  <c r="B470" i="7" s="1"/>
  <c r="B501"/>
  <c r="B2711" i="5"/>
  <c r="B493" i="7" s="1"/>
  <c r="J2365" i="5"/>
  <c r="K2365" s="1"/>
  <c r="G420" i="7" s="1"/>
  <c r="H2366" i="5"/>
  <c r="I2366" s="1"/>
  <c r="F421" i="7" s="1"/>
  <c r="J2363" i="5"/>
  <c r="K2363" s="1"/>
  <c r="G418" i="7" s="1"/>
  <c r="H2363" i="5"/>
  <c r="I2363" s="1"/>
  <c r="F418" i="7" s="1"/>
  <c r="J2298" i="5"/>
  <c r="K2298" s="1"/>
  <c r="G405" i="7" s="1"/>
  <c r="J2294" i="5"/>
  <c r="K2294" s="1"/>
  <c r="G401" i="7" s="1"/>
  <c r="J2293" i="5"/>
  <c r="K2293" s="1"/>
  <c r="G400" i="7" s="1"/>
  <c r="J2292" i="5"/>
  <c r="K2292" s="1"/>
  <c r="G399" i="7" s="1"/>
  <c r="H2226" i="5"/>
  <c r="I2226" s="1"/>
  <c r="F376" i="7" s="1"/>
  <c r="H2438" i="5"/>
  <c r="I2438" s="1"/>
  <c r="F441" i="7" s="1"/>
  <c r="J2299" i="5"/>
  <c r="K2299" s="1"/>
  <c r="G406" i="7" s="1"/>
  <c r="J2300" i="5"/>
  <c r="K2300" s="1"/>
  <c r="G407" i="7" s="1"/>
  <c r="H2298" i="5"/>
  <c r="I2298" s="1"/>
  <c r="F405" i="7" s="1"/>
  <c r="H2439" i="5"/>
  <c r="I2439" s="1"/>
  <c r="F442" i="7" s="1"/>
  <c r="H2440" i="5"/>
  <c r="I2440" s="1"/>
  <c r="F443" i="7" s="1"/>
  <c r="H2299" i="5"/>
  <c r="I2299" s="1"/>
  <c r="F406" i="7" s="1"/>
  <c r="H2300" i="5"/>
  <c r="I2300" s="1"/>
  <c r="F407" i="7" s="1"/>
  <c r="B2160" i="5"/>
  <c r="E11" i="7"/>
  <c r="D11"/>
  <c r="B1"/>
  <c r="T1959" i="5" l="1"/>
  <c r="T851"/>
  <c r="B1120"/>
  <c r="B2359"/>
  <c r="B287"/>
  <c r="T364" s="1"/>
  <c r="B529"/>
  <c r="L113" i="7" s="1"/>
  <c r="B486" i="5"/>
  <c r="L104" i="7" s="1"/>
  <c r="B485" i="5"/>
  <c r="L103" i="7" s="1"/>
  <c r="B484" i="5"/>
  <c r="L102" i="7" s="1"/>
  <c r="B483" i="5"/>
  <c r="L101" i="7" s="1"/>
  <c r="B482" i="5"/>
  <c r="L100" i="7" s="1"/>
  <c r="B479" i="5"/>
  <c r="L97" i="7" s="1"/>
  <c r="B478" i="5"/>
  <c r="L96" i="7" s="1"/>
  <c r="B477" i="5"/>
  <c r="L95" i="7" s="1"/>
  <c r="B476" i="5"/>
  <c r="L94" i="7" s="1"/>
  <c r="B475" i="5"/>
  <c r="L93" i="7" s="1"/>
  <c r="B532" i="5"/>
  <c r="L116" i="7" s="1"/>
  <c r="S510" i="5"/>
  <c r="H467"/>
  <c r="F95" i="7" s="1"/>
  <c r="L466" i="5"/>
  <c r="H94" i="7" s="1"/>
  <c r="D466" i="5"/>
  <c r="D94" i="7" s="1"/>
  <c r="H465" i="5"/>
  <c r="F93" i="7" s="1"/>
  <c r="B465" i="5"/>
  <c r="B93" i="7" s="1"/>
  <c r="E533" i="5"/>
  <c r="M117" i="7" s="1"/>
  <c r="B531" i="5"/>
  <c r="L115" i="7" s="1"/>
  <c r="D514" i="5"/>
  <c r="D108" i="7" s="1"/>
  <c r="C513" i="5"/>
  <c r="C107" i="7" s="1"/>
  <c r="B512" i="5"/>
  <c r="B106" i="7" s="1"/>
  <c r="B473" i="5"/>
  <c r="D467"/>
  <c r="D95" i="7" s="1"/>
  <c r="H466" i="5"/>
  <c r="F94" i="7" s="1"/>
  <c r="D465" i="5"/>
  <c r="D93" i="7" s="1"/>
  <c r="B533" i="5"/>
  <c r="L117" i="7" s="1"/>
  <c r="B522" i="5"/>
  <c r="L106" i="7" s="1"/>
  <c r="F513" i="5"/>
  <c r="E107" i="7" s="1"/>
  <c r="D512" i="5"/>
  <c r="D106" i="7" s="1"/>
  <c r="J466" i="5"/>
  <c r="G94" i="7" s="1"/>
  <c r="F465" i="5"/>
  <c r="E93" i="7" s="1"/>
  <c r="C514" i="5"/>
  <c r="C108" i="7" s="1"/>
  <c r="F512" i="5"/>
  <c r="E106" i="7" s="1"/>
  <c r="E486" i="5"/>
  <c r="M104" i="7" s="1"/>
  <c r="J467" i="5"/>
  <c r="G95" i="7" s="1"/>
  <c r="C467" i="5"/>
  <c r="C95" i="7" s="1"/>
  <c r="F466" i="5"/>
  <c r="E94" i="7" s="1"/>
  <c r="J465" i="5"/>
  <c r="G93" i="7" s="1"/>
  <c r="C465" i="5"/>
  <c r="C93" i="7" s="1"/>
  <c r="B530" i="5"/>
  <c r="L114" i="7" s="1"/>
  <c r="B527" i="5"/>
  <c r="L111" i="7" s="1"/>
  <c r="B520" i="5"/>
  <c r="F514"/>
  <c r="E108" i="7" s="1"/>
  <c r="D513" i="5"/>
  <c r="D107" i="7" s="1"/>
  <c r="C512" i="5"/>
  <c r="C106" i="7" s="1"/>
  <c r="B480" i="5"/>
  <c r="L98" i="7" s="1"/>
  <c r="L467" i="5"/>
  <c r="H95" i="7" s="1"/>
  <c r="L465" i="5"/>
  <c r="H93" i="7" s="1"/>
  <c r="B526" i="5"/>
  <c r="L110" i="7" s="1"/>
  <c r="B525" i="5"/>
  <c r="L109" i="7" s="1"/>
  <c r="B524" i="5"/>
  <c r="L108" i="7" s="1"/>
  <c r="B523" i="5"/>
  <c r="L107" i="7" s="1"/>
  <c r="F467" i="5"/>
  <c r="E95" i="7" s="1"/>
  <c r="C466" i="5"/>
  <c r="C94" i="7" s="1"/>
  <c r="S463" i="5"/>
  <c r="T487"/>
  <c r="E2251"/>
  <c r="E2427" s="1"/>
  <c r="F431" i="7" s="1"/>
  <c r="B2259" i="5"/>
  <c r="C391" i="7" s="1"/>
  <c r="F2254" i="5"/>
  <c r="E388" i="7" s="1"/>
  <c r="B2257" i="5"/>
  <c r="D2254"/>
  <c r="D388" i="7" s="1"/>
  <c r="B2255" i="5"/>
  <c r="B389" i="7" s="1"/>
  <c r="T2251" i="5"/>
  <c r="B2253"/>
  <c r="B387" i="7" s="1"/>
  <c r="C2254" i="5"/>
  <c r="C388" i="7" s="1"/>
  <c r="C2253" i="5"/>
  <c r="C387" i="7" s="1"/>
  <c r="B2291" i="5"/>
  <c r="B398" i="7" s="1"/>
  <c r="E8" i="5"/>
  <c r="B310"/>
  <c r="L67" i="7" s="1"/>
  <c r="B305" i="5"/>
  <c r="L62" i="7" s="1"/>
  <c r="F415" i="5"/>
  <c r="E87" i="7" s="1"/>
  <c r="F414" i="5"/>
  <c r="E86" i="7" s="1"/>
  <c r="H415" i="5"/>
  <c r="F87" i="7" s="1"/>
  <c r="H414" i="5"/>
  <c r="F86" i="7" s="1"/>
  <c r="B414" i="5"/>
  <c r="B86" i="7" s="1"/>
  <c r="D414" i="5"/>
  <c r="D86" i="7" s="1"/>
  <c r="C416" i="5"/>
  <c r="C88" i="7" s="1"/>
  <c r="C415" i="5"/>
  <c r="C87" i="7" s="1"/>
  <c r="C414" i="5"/>
  <c r="C86" i="7" s="1"/>
  <c r="D415" i="5"/>
  <c r="D87" i="7" s="1"/>
  <c r="E369" i="5"/>
  <c r="D75" i="7" s="1"/>
  <c r="R2362" i="5"/>
  <c r="K417" i="7" s="1"/>
  <c r="B775" i="5"/>
  <c r="L167" i="7" s="1"/>
  <c r="T2429" i="5"/>
  <c r="L432" i="7" s="1"/>
  <c r="R7" i="5"/>
  <c r="D2361"/>
  <c r="D416" i="7" s="1"/>
  <c r="J1122" i="5"/>
  <c r="G227" i="7" s="1"/>
  <c r="P7" i="5"/>
  <c r="D1124"/>
  <c r="D229" i="7" s="1"/>
  <c r="B914" i="5"/>
  <c r="L188" i="7" s="1"/>
  <c r="B913" i="5"/>
  <c r="L187" i="7" s="1"/>
  <c r="F831" i="5"/>
  <c r="E172" i="7" s="1"/>
  <c r="C1049" i="5"/>
  <c r="C213" i="7" s="1"/>
  <c r="B757" i="5"/>
  <c r="B158" i="7" s="1"/>
  <c r="B424" i="5"/>
  <c r="L88" i="7" s="1"/>
  <c r="T425" i="5"/>
  <c r="E424"/>
  <c r="M88" i="7" s="1"/>
  <c r="B420" i="5"/>
  <c r="B422"/>
  <c r="L86" i="7" s="1"/>
  <c r="T412" i="5"/>
  <c r="B1746"/>
  <c r="L301" i="7" s="1"/>
  <c r="B373" i="5"/>
  <c r="L72" i="7" s="1"/>
  <c r="B2293" i="5"/>
  <c r="B400" i="7" s="1"/>
  <c r="B2581" i="5"/>
  <c r="B473" i="7" s="1"/>
  <c r="B2486" i="5"/>
  <c r="B465" i="7" s="1"/>
  <c r="C2656" i="5"/>
  <c r="L478" i="7" s="1"/>
  <c r="L1201" i="5"/>
  <c r="H243" i="7" s="1"/>
  <c r="B100" i="5"/>
  <c r="L28" i="7" s="1"/>
  <c r="B304" i="5"/>
  <c r="L61" i="7" s="1"/>
  <c r="C2030" i="5"/>
  <c r="C349" i="7" s="1"/>
  <c r="B703" i="5"/>
  <c r="L155" i="7" s="1"/>
  <c r="B2485" i="5"/>
  <c r="B464" i="7" s="1"/>
  <c r="F585" i="5"/>
  <c r="E120" i="7" s="1"/>
  <c r="C978" i="5"/>
  <c r="C201" i="7" s="1"/>
  <c r="B2647" i="5"/>
  <c r="B487" i="7" s="1"/>
  <c r="L977" i="5"/>
  <c r="H200" i="7" s="1"/>
  <c r="B1338" i="5"/>
  <c r="L259" i="7" s="1"/>
  <c r="C1124" i="5"/>
  <c r="C229" i="7" s="1"/>
  <c r="C2098" i="5"/>
  <c r="C360" i="7" s="1"/>
  <c r="B1521" i="5"/>
  <c r="B286" i="7" s="1"/>
  <c r="B2108" i="5"/>
  <c r="L362" i="7" s="1"/>
  <c r="B2771" i="5"/>
  <c r="B502" i="7" s="1"/>
  <c r="F584" i="5"/>
  <c r="E119" i="7" s="1"/>
  <c r="B1136" i="5"/>
  <c r="L229" i="7" s="1"/>
  <c r="H1809" i="5"/>
  <c r="F313" i="7" s="1"/>
  <c r="B903" i="5"/>
  <c r="B185" i="7" s="1"/>
  <c r="J833" i="5"/>
  <c r="G174" i="7" s="1"/>
  <c r="B1348" i="5"/>
  <c r="L269" i="7" s="1"/>
  <c r="E1468" i="5"/>
  <c r="M284" i="7" s="1"/>
  <c r="B2713" i="5"/>
  <c r="B494" i="7" s="1"/>
  <c r="J904" i="5"/>
  <c r="G186" i="7" s="1"/>
  <c r="H1523" i="5"/>
  <c r="F288" i="7" s="1"/>
  <c r="F2098" i="5"/>
  <c r="E360" i="7" s="1"/>
  <c r="I8" i="5"/>
  <c r="F1522"/>
  <c r="E287" i="7" s="1"/>
  <c r="D2579" i="5"/>
  <c r="D471" i="7" s="1"/>
  <c r="C759" i="5"/>
  <c r="C160" i="7" s="1"/>
  <c r="L1122" i="5"/>
  <c r="H227" i="7" s="1"/>
  <c r="B1905" i="5"/>
  <c r="L332" i="7" s="1"/>
  <c r="D289" i="5"/>
  <c r="AC291" s="1"/>
  <c r="H905"/>
  <c r="F187" i="7" s="1"/>
  <c r="B1222" i="5"/>
  <c r="L252" i="7" s="1"/>
  <c r="J2030" i="5"/>
  <c r="G349" i="7" s="1"/>
  <c r="C1050" i="5"/>
  <c r="C214" i="7" s="1"/>
  <c r="L2580" i="5"/>
  <c r="H472" i="7" s="1"/>
  <c r="B179" i="5"/>
  <c r="L46" i="7" s="1"/>
  <c r="B1749" i="5"/>
  <c r="L304" i="7" s="1"/>
  <c r="B1535" i="5"/>
  <c r="L291" i="7" s="1"/>
  <c r="B989" i="5"/>
  <c r="L204" i="7" s="1"/>
  <c r="B697" i="5"/>
  <c r="L149" i="7" s="1"/>
  <c r="B306" i="5"/>
  <c r="L63" i="7" s="1"/>
  <c r="B31" i="5"/>
  <c r="L16" i="7" s="1"/>
  <c r="C586" i="5"/>
  <c r="C121" i="7" s="1"/>
  <c r="B593" i="5"/>
  <c r="B604"/>
  <c r="L128" i="7" s="1"/>
  <c r="B598" i="5"/>
  <c r="L122" i="7" s="1"/>
  <c r="D586" i="5"/>
  <c r="D121" i="7" s="1"/>
  <c r="F586" i="5"/>
  <c r="E121" i="7" s="1"/>
  <c r="B1459" i="5"/>
  <c r="L275" i="7" s="1"/>
  <c r="B1216" i="5"/>
  <c r="L246" i="7" s="1"/>
  <c r="B769" i="5"/>
  <c r="L161" i="7" s="1"/>
  <c r="C2029" i="5"/>
  <c r="C348" i="7" s="1"/>
  <c r="E1542" i="5"/>
  <c r="M298" i="7" s="1"/>
  <c r="B1145" i="5"/>
  <c r="L238" i="7" s="1"/>
  <c r="L2030" i="5"/>
  <c r="H349" i="7" s="1"/>
  <c r="L2429" i="5"/>
  <c r="H432" i="7" s="1"/>
  <c r="L1200" i="5"/>
  <c r="H242" i="7" s="1"/>
  <c r="B28" i="5"/>
  <c r="L13" i="7" s="1"/>
  <c r="B2433" i="5"/>
  <c r="B436" i="7" s="1"/>
  <c r="H1521" i="5"/>
  <c r="F286" i="7" s="1"/>
  <c r="B2718" i="5"/>
  <c r="B499" i="7" s="1"/>
  <c r="B1900" i="5"/>
  <c r="L327" i="7" s="1"/>
  <c r="B847" i="5"/>
  <c r="L180" i="7" s="1"/>
  <c r="C1809" i="5"/>
  <c r="C313" i="7" s="1"/>
  <c r="D1449" i="5"/>
  <c r="D273" i="7" s="1"/>
  <c r="E923" i="5"/>
  <c r="M197" i="7" s="1"/>
  <c r="B22" i="5"/>
  <c r="F90"/>
  <c r="AD92" s="1"/>
  <c r="B289"/>
  <c r="B57" i="7" s="1"/>
  <c r="B2653" i="5"/>
  <c r="C1325"/>
  <c r="C257" i="7" s="1"/>
  <c r="B2294" i="5"/>
  <c r="B401" i="7" s="1"/>
  <c r="L903" i="5"/>
  <c r="H185" i="7" s="1"/>
  <c r="H903" i="5"/>
  <c r="F185" i="7" s="1"/>
  <c r="L2638" i="5"/>
  <c r="H478" i="7" s="1"/>
  <c r="B1049" i="5"/>
  <c r="B213" i="7" s="1"/>
  <c r="T7" i="5"/>
  <c r="H2031"/>
  <c r="F350" i="7" s="1"/>
  <c r="B985" i="5"/>
  <c r="L200" i="7" s="1"/>
  <c r="B302" i="5"/>
  <c r="L59" i="7" s="1"/>
  <c r="J1050" i="5"/>
  <c r="G214" i="7" s="1"/>
  <c r="B2645" i="5"/>
  <c r="B485" i="7" s="1"/>
  <c r="F684" i="5"/>
  <c r="E145" i="7" s="1"/>
  <c r="B1886" i="5"/>
  <c r="B326" i="7" s="1"/>
  <c r="H684" i="5"/>
  <c r="F145" i="7" s="1"/>
  <c r="C1961" i="5"/>
  <c r="C338" i="7" s="1"/>
  <c r="L1049" i="5"/>
  <c r="H213" i="7" s="1"/>
  <c r="F1810" i="5"/>
  <c r="E314" i="7" s="1"/>
  <c r="H685" i="5"/>
  <c r="F146" i="7" s="1"/>
  <c r="B301" i="5"/>
  <c r="L58" i="7" s="1"/>
  <c r="D2771" i="5"/>
  <c r="D502" i="7" s="1"/>
  <c r="B2289" i="5"/>
  <c r="B396" i="7" s="1"/>
  <c r="F1738" i="5"/>
  <c r="E302" i="7" s="1"/>
  <c r="B1468" i="5"/>
  <c r="L284" i="7" s="1"/>
  <c r="F7" i="5"/>
  <c r="H1810"/>
  <c r="F314" i="7" s="1"/>
  <c r="B1337" i="5"/>
  <c r="L258" i="7" s="1"/>
  <c r="C905" i="5"/>
  <c r="C187" i="7" s="1"/>
  <c r="H2030" i="5"/>
  <c r="F349" i="7" s="1"/>
  <c r="B694" i="5"/>
  <c r="L146" i="7" s="1"/>
  <c r="H1326" i="5"/>
  <c r="F258" i="7" s="1"/>
  <c r="B2584" i="5"/>
  <c r="K471" i="7" s="1"/>
  <c r="J2031" i="5"/>
  <c r="G350" i="7" s="1"/>
  <c r="L1326" i="5"/>
  <c r="H258" i="7" s="1"/>
  <c r="D2030" i="5"/>
  <c r="D349" i="7" s="1"/>
  <c r="B1747" i="5"/>
  <c r="L302" i="7" s="1"/>
  <c r="T2361" i="5"/>
  <c r="L416" i="7" s="1"/>
  <c r="B2168" i="5"/>
  <c r="L366" i="7" s="1"/>
  <c r="T2430" i="5"/>
  <c r="L433" i="7" s="1"/>
  <c r="F976" i="5"/>
  <c r="E199" i="7" s="1"/>
  <c r="B2648" i="5"/>
  <c r="B488" i="7" s="1"/>
  <c r="B1832" i="5"/>
  <c r="L323" i="7" s="1"/>
  <c r="H757" i="5"/>
  <c r="F158" i="7" s="1"/>
  <c r="B2716" i="5"/>
  <c r="B497" i="7" s="1"/>
  <c r="L1051" i="5"/>
  <c r="H215" i="7" s="1"/>
  <c r="B921" i="5"/>
  <c r="L195" i="7" s="1"/>
  <c r="C2163" i="5"/>
  <c r="C367" i="7" s="1"/>
  <c r="L1448" i="5"/>
  <c r="H272" i="7" s="1"/>
  <c r="B2226" i="5"/>
  <c r="B376" i="7" s="1"/>
  <c r="C904" i="5"/>
  <c r="C186" i="7" s="1"/>
  <c r="L978" i="5"/>
  <c r="H201" i="7" s="1"/>
  <c r="B2429" i="5"/>
  <c r="B432" i="7" s="1"/>
  <c r="H1123" i="5"/>
  <c r="F228" i="7" s="1"/>
  <c r="D1051" i="5"/>
  <c r="D215" i="7" s="1"/>
  <c r="B2773" i="5"/>
  <c r="B504" i="7" s="1"/>
  <c r="B2308" i="5"/>
  <c r="C413" i="7" s="1"/>
  <c r="H2096" i="5"/>
  <c r="F358" i="7" s="1"/>
  <c r="D686" i="5"/>
  <c r="D147" i="7" s="1"/>
  <c r="D1523" i="5"/>
  <c r="D288" i="7" s="1"/>
  <c r="B2368" i="5"/>
  <c r="B423" i="7" s="1"/>
  <c r="B308" i="5"/>
  <c r="L65" i="7" s="1"/>
  <c r="B2107" i="5"/>
  <c r="L361" i="7" s="1"/>
  <c r="B2225" i="5"/>
  <c r="B375" i="7" s="1"/>
  <c r="B909" i="5"/>
  <c r="B2366"/>
  <c r="B421" i="7" s="1"/>
  <c r="B986" i="5"/>
  <c r="L201" i="7" s="1"/>
  <c r="B915" i="5"/>
  <c r="L189" i="7" s="1"/>
  <c r="J2579" i="5"/>
  <c r="G471" i="7" s="1"/>
  <c r="L831" i="5"/>
  <c r="H172" i="7" s="1"/>
  <c r="C163" i="5"/>
  <c r="C41" i="7" s="1"/>
  <c r="B1069" i="5"/>
  <c r="L225" i="7" s="1"/>
  <c r="B178" i="5"/>
  <c r="L45" i="7" s="1"/>
  <c r="B1961" i="5"/>
  <c r="B338" i="7" s="1"/>
  <c r="H2222" i="5"/>
  <c r="F372" i="7" s="1"/>
  <c r="D1737" i="5"/>
  <c r="D301" i="7" s="1"/>
  <c r="F1448" i="5"/>
  <c r="E272" i="7" s="1"/>
  <c r="J1202" i="5"/>
  <c r="G244" i="7" s="1"/>
  <c r="B1820" i="5"/>
  <c r="B1225"/>
  <c r="L255" i="7" s="1"/>
  <c r="C14" i="5"/>
  <c r="C11" i="7" s="1"/>
  <c r="F1200" i="5"/>
  <c r="E242" i="7" s="1"/>
  <c r="F904" i="5"/>
  <c r="E186" i="7" s="1"/>
  <c r="F2163" i="5"/>
  <c r="E367" i="7" s="1"/>
  <c r="B849" i="5"/>
  <c r="L182" i="7" s="1"/>
  <c r="E850" i="5"/>
  <c r="M183" i="7" s="1"/>
  <c r="D1522" i="5"/>
  <c r="D287" i="7" s="1"/>
  <c r="B1541" i="5"/>
  <c r="L297" i="7" s="1"/>
  <c r="H2579" i="5"/>
  <c r="F471" i="7" s="1"/>
  <c r="B1748" i="5"/>
  <c r="L303" i="7" s="1"/>
  <c r="F832" i="5"/>
  <c r="E173" i="7" s="1"/>
  <c r="F1051" i="5"/>
  <c r="E215" i="7" s="1"/>
  <c r="F2030" i="5"/>
  <c r="E349" i="7" s="1"/>
  <c r="B1977" i="5"/>
  <c r="L343" i="7" s="1"/>
  <c r="B1214" i="5"/>
  <c r="L244" i="7" s="1"/>
  <c r="F1122" i="5"/>
  <c r="E227" i="7" s="1"/>
  <c r="C2362" i="5"/>
  <c r="C417" i="7" s="1"/>
  <c r="L2579" i="5"/>
  <c r="H471" i="7" s="1"/>
  <c r="C686" i="5"/>
  <c r="C147" i="7" s="1"/>
  <c r="F758" i="5"/>
  <c r="E159" i="7" s="1"/>
  <c r="C832" i="5"/>
  <c r="C173" i="7" s="1"/>
  <c r="D2290" i="5"/>
  <c r="D397" i="7" s="1"/>
  <c r="B1827" i="5"/>
  <c r="L318" i="7" s="1"/>
  <c r="B1219" i="5"/>
  <c r="L249" i="7" s="1"/>
  <c r="D1202" i="5"/>
  <c r="D244" i="7" s="1"/>
  <c r="B1460" i="5"/>
  <c r="L276" i="7" s="1"/>
  <c r="B2637" i="5"/>
  <c r="B477" i="7" s="1"/>
  <c r="B1530" i="5"/>
  <c r="L286" i="7" s="1"/>
  <c r="D2221" i="5"/>
  <c r="D371" i="7" s="1"/>
  <c r="D976" i="5"/>
  <c r="D199" i="7" s="1"/>
  <c r="D2429" i="5"/>
  <c r="D432" i="7" s="1"/>
  <c r="D757" i="5"/>
  <c r="D158" i="7" s="1"/>
  <c r="D2029" i="5"/>
  <c r="D348" i="7" s="1"/>
  <c r="D1122" i="5"/>
  <c r="D227" i="7" s="1"/>
  <c r="D2637" i="5"/>
  <c r="D477" i="7" s="1"/>
  <c r="C164" i="5"/>
  <c r="C42" i="7" s="1"/>
  <c r="B1223" i="5"/>
  <c r="L253" i="7" s="1"/>
  <c r="J1123" i="5"/>
  <c r="G228" i="7" s="1"/>
  <c r="F1124" i="5"/>
  <c r="E229" i="7" s="1"/>
  <c r="B984" i="5"/>
  <c r="L199" i="7" s="1"/>
  <c r="C291" i="5"/>
  <c r="C59" i="7" s="1"/>
  <c r="P2289" i="5"/>
  <c r="J396" i="7" s="1"/>
  <c r="H2580" i="5"/>
  <c r="F472" i="7" s="1"/>
  <c r="B1830" i="5"/>
  <c r="L321" i="7" s="1"/>
  <c r="L686" i="5"/>
  <c r="H147" i="7" s="1"/>
  <c r="T2362" i="5"/>
  <c r="L417" i="7" s="1"/>
  <c r="C1327" i="5"/>
  <c r="C259" i="7" s="1"/>
  <c r="D163" i="5"/>
  <c r="AC165" s="1"/>
  <c r="J7"/>
  <c r="C685"/>
  <c r="C146" i="7" s="1"/>
  <c r="N7" i="5"/>
  <c r="B850"/>
  <c r="L183" i="7" s="1"/>
  <c r="C2289" i="5"/>
  <c r="C396" i="7" s="1"/>
  <c r="B378" i="5"/>
  <c r="L77" i="7" s="1"/>
  <c r="B2579" i="5"/>
  <c r="B471" i="7" s="1"/>
  <c r="B993" i="5"/>
  <c r="L208" i="7" s="1"/>
  <c r="B2440" i="5"/>
  <c r="B443" i="7" s="1"/>
  <c r="J684" i="5"/>
  <c r="G145" i="7" s="1"/>
  <c r="V2222" i="5"/>
  <c r="M372" i="7" s="1"/>
  <c r="B1534" i="5"/>
  <c r="L290" i="7" s="1"/>
  <c r="B2096" i="5"/>
  <c r="B358" i="7" s="1"/>
  <c r="F1809" i="5"/>
  <c r="E313" i="7" s="1"/>
  <c r="D1962" i="5"/>
  <c r="D339" i="7" s="1"/>
  <c r="B1325" i="5"/>
  <c r="B257" i="7" s="1"/>
  <c r="B704" i="5"/>
  <c r="L156" i="7" s="1"/>
  <c r="B2651" i="5"/>
  <c r="B491" i="7" s="1"/>
  <c r="H1122" i="5"/>
  <c r="F227" i="7" s="1"/>
  <c r="D905" i="5"/>
  <c r="D187" i="7" s="1"/>
  <c r="U8" i="5"/>
  <c r="B187"/>
  <c r="L54" i="7" s="1"/>
  <c r="C1"/>
  <c r="M1" s="1"/>
  <c r="P2430" i="5"/>
  <c r="J433" i="7" s="1"/>
  <c r="C290" i="5"/>
  <c r="C58" i="7" s="1"/>
  <c r="L1325" i="5"/>
  <c r="H257" i="7" s="1"/>
  <c r="P2429" i="5"/>
  <c r="J432" i="7" s="1"/>
  <c r="B2299" i="5"/>
  <c r="B406" i="7" s="1"/>
  <c r="B1970" i="5"/>
  <c r="B1824"/>
  <c r="L315" i="7" s="1"/>
  <c r="F2097" i="5"/>
  <c r="E359" i="7" s="1"/>
  <c r="B1137" i="5"/>
  <c r="L230" i="7" s="1"/>
  <c r="B1906" i="5"/>
  <c r="L333" i="7" s="1"/>
  <c r="B2639" i="5"/>
  <c r="B479" i="7" s="1"/>
  <c r="B2641" i="5"/>
  <c r="B481" i="7" s="1"/>
  <c r="J2290" i="5"/>
  <c r="G397" i="7" s="1"/>
  <c r="B2106" i="5"/>
  <c r="B2374"/>
  <c r="C1522"/>
  <c r="C287" i="7" s="1"/>
  <c r="F2638" i="5"/>
  <c r="E478" i="7" s="1"/>
  <c r="L2222" i="5"/>
  <c r="H372" i="7" s="1"/>
  <c r="B1215" i="5"/>
  <c r="L245" i="7" s="1"/>
  <c r="C757" i="5"/>
  <c r="C158" i="7" s="1"/>
  <c r="B1899" i="5"/>
  <c r="L326" i="7" s="1"/>
  <c r="F1523" i="5"/>
  <c r="E288" i="7" s="1"/>
  <c r="C12" i="5"/>
  <c r="C9" i="7" s="1"/>
  <c r="B184" i="5"/>
  <c r="L51" i="7" s="1"/>
  <c r="B1461" i="5"/>
  <c r="L277" i="7" s="1"/>
  <c r="B1218" i="5"/>
  <c r="L248" i="7" s="1"/>
  <c r="B916" i="5"/>
  <c r="L190" i="7" s="1"/>
  <c r="B599" i="5"/>
  <c r="L123" i="7" s="1"/>
  <c r="B102" i="5"/>
  <c r="L30" i="7" s="1"/>
  <c r="C181" i="5"/>
  <c r="L48" i="7" s="1"/>
  <c r="E606" i="5"/>
  <c r="T607"/>
  <c r="B605"/>
  <c r="B600"/>
  <c r="L124" i="7" s="1"/>
  <c r="B595" i="5"/>
  <c r="L119" i="7" s="1"/>
  <c r="S582" i="5"/>
  <c r="B1533"/>
  <c r="L289" i="7" s="1"/>
  <c r="B2041" i="5"/>
  <c r="L349" i="7" s="1"/>
  <c r="T2290" i="5"/>
  <c r="L397" i="7" s="1"/>
  <c r="B1213" i="5"/>
  <c r="L243" i="7" s="1"/>
  <c r="B2714" i="5"/>
  <c r="B495" i="7" s="1"/>
  <c r="H1449" i="5"/>
  <c r="F273" i="7" s="1"/>
  <c r="C2637" i="5"/>
  <c r="C477" i="7" s="1"/>
  <c r="C2097" i="5"/>
  <c r="C359" i="7" s="1"/>
  <c r="F1325" i="5"/>
  <c r="E257" i="7" s="1"/>
  <c r="F2096" i="5"/>
  <c r="E358" i="7" s="1"/>
  <c r="E2219" i="5"/>
  <c r="F370" i="7" s="1"/>
  <c r="B1132" i="5"/>
  <c r="B2223"/>
  <c r="B373" i="7" s="1"/>
  <c r="H978" i="5"/>
  <c r="F201" i="7" s="1"/>
  <c r="B1756" i="5"/>
  <c r="L311" i="7" s="1"/>
  <c r="E1908" i="5"/>
  <c r="M335" i="7" s="1"/>
  <c r="D91" i="5"/>
  <c r="D27" i="7" s="1"/>
  <c r="L2163" i="5"/>
  <c r="H367" i="7" s="1"/>
  <c r="B177" i="5"/>
  <c r="L44" i="7" s="1"/>
  <c r="B2109" i="5"/>
  <c r="B381"/>
  <c r="L80" i="7" s="1"/>
  <c r="B2434" i="5"/>
  <c r="B437" i="7" s="1"/>
  <c r="E2" i="5"/>
  <c r="Q8"/>
  <c r="B172"/>
  <c r="B848"/>
  <c r="L181" i="7" s="1"/>
  <c r="B1063" i="5"/>
  <c r="L219" i="7" s="1"/>
  <c r="U2" i="5"/>
  <c r="K2" i="7" s="1"/>
  <c r="C1201" i="5"/>
  <c r="C243" i="7" s="1"/>
  <c r="B103" i="5"/>
  <c r="L31" i="7" s="1"/>
  <c r="B1347" i="5"/>
  <c r="L268" i="7" s="1"/>
  <c r="C366" i="5"/>
  <c r="C72" i="7" s="1"/>
  <c r="B27" i="5"/>
  <c r="L12" i="7" s="1"/>
  <c r="B1823" i="5"/>
  <c r="L314" i="7" s="1"/>
  <c r="V7" i="5"/>
  <c r="B917"/>
  <c r="L191" i="7" s="1"/>
  <c r="H759" i="5"/>
  <c r="F160" i="7" s="1"/>
  <c r="B2228" i="5"/>
  <c r="B378" i="7" s="1"/>
  <c r="U5" i="5"/>
  <c r="K4" i="7" s="1"/>
  <c r="B2292" i="5"/>
  <c r="B399" i="7" s="1"/>
  <c r="F903" i="5"/>
  <c r="E185" i="7" s="1"/>
  <c r="B1343" i="5"/>
  <c r="L264" i="7" s="1"/>
  <c r="B2432" i="5"/>
  <c r="B435" i="7" s="1"/>
  <c r="H2029" i="5"/>
  <c r="F348" i="7" s="1"/>
  <c r="J685" i="5"/>
  <c r="G146" i="7" s="1"/>
  <c r="B309" i="5"/>
  <c r="L66" i="7" s="1"/>
  <c r="F1049" i="5"/>
  <c r="E213" i="7" s="1"/>
  <c r="B37" i="5"/>
  <c r="L22" i="7" s="1"/>
  <c r="B844" i="5"/>
  <c r="L177" i="7" s="1"/>
  <c r="E2301" i="5"/>
  <c r="D408" i="7" s="1"/>
  <c r="E1069" i="5"/>
  <c r="M225" i="7" s="1"/>
  <c r="E384" i="5"/>
  <c r="M83" i="7" s="1"/>
  <c r="B1750" i="5"/>
  <c r="L305" i="7" s="1"/>
  <c r="D2580" i="5"/>
  <c r="D472" i="7" s="1"/>
  <c r="B1538" i="5"/>
  <c r="L294" i="7" s="1"/>
  <c r="B911" i="5"/>
  <c r="L185" i="7" s="1"/>
  <c r="D1201" i="5"/>
  <c r="D243" i="7" s="1"/>
  <c r="B777" i="5"/>
  <c r="L169" i="7" s="1"/>
  <c r="D2097" i="5"/>
  <c r="D359" i="7" s="1"/>
  <c r="B1833" i="5"/>
  <c r="L324" i="7" s="1"/>
  <c r="B2164" i="5"/>
  <c r="B368" i="7" s="1"/>
  <c r="E1755" i="5"/>
  <c r="M310" i="7" s="1"/>
  <c r="B1141" i="5"/>
  <c r="L234" i="7" s="1"/>
  <c r="H1051" i="5"/>
  <c r="F215" i="7" s="1"/>
  <c r="H2290" i="5"/>
  <c r="F397" i="7" s="1"/>
  <c r="J977" i="5"/>
  <c r="G200" i="7" s="1"/>
  <c r="C1962" i="5"/>
  <c r="C339" i="7" s="1"/>
  <c r="D1809" i="5"/>
  <c r="D313" i="7" s="1"/>
  <c r="B2369" i="5"/>
  <c r="B424" i="7" s="1"/>
  <c r="B1135" i="5"/>
  <c r="L228" i="7" s="1"/>
  <c r="J2162" i="5"/>
  <c r="G366" i="7" s="1"/>
  <c r="B923" i="5"/>
  <c r="L197" i="7" s="1"/>
  <c r="F757" i="5"/>
  <c r="E158" i="7" s="1"/>
  <c r="B313" i="5"/>
  <c r="L70" i="7" s="1"/>
  <c r="E1349" i="5"/>
  <c r="M270" i="7" s="1"/>
  <c r="H2429" i="5"/>
  <c r="F432" i="7" s="1"/>
  <c r="B1339" i="5"/>
  <c r="L260" i="7" s="1"/>
  <c r="H2098" i="5"/>
  <c r="F360" i="7" s="1"/>
  <c r="D2713" i="5"/>
  <c r="D494" i="7" s="1"/>
  <c r="L2289" i="5"/>
  <c r="H396" i="7" s="1"/>
  <c r="B2438" i="5"/>
  <c r="B441" i="7" s="1"/>
  <c r="T2222" i="5"/>
  <c r="L372" i="7" s="1"/>
  <c r="P2290" i="5"/>
  <c r="J397" i="7" s="1"/>
  <c r="C1886" i="5"/>
  <c r="C326" i="7" s="1"/>
  <c r="B2644" i="5"/>
  <c r="B484" i="7" s="1"/>
  <c r="C2638" i="5"/>
  <c r="C478" i="7" s="1"/>
  <c r="B107" i="5"/>
  <c r="L35" i="7" s="1"/>
  <c r="B2365" i="5"/>
  <c r="B420" i="7" s="1"/>
  <c r="H977" i="5"/>
  <c r="F200" i="7" s="1"/>
  <c r="D1738" i="5"/>
  <c r="D302" i="7" s="1"/>
  <c r="H686" i="5"/>
  <c r="F147" i="7" s="1"/>
  <c r="B684" i="5"/>
  <c r="B145" i="7" s="1"/>
  <c r="H2221" i="5"/>
  <c r="F371" i="7" s="1"/>
  <c r="B1462" i="5"/>
  <c r="L278" i="7" s="1"/>
  <c r="B1210" i="5"/>
  <c r="W8"/>
  <c r="H1050"/>
  <c r="F214" i="7" s="1"/>
  <c r="B1539" i="5"/>
  <c r="L295" i="7" s="1"/>
  <c r="B33" i="5"/>
  <c r="L18" i="7" s="1"/>
  <c r="D164" i="5"/>
  <c r="D42" i="7" s="1"/>
  <c r="F1886" i="5"/>
  <c r="E326" i="7" s="1"/>
  <c r="B2646" i="5"/>
  <c r="B486" i="7" s="1"/>
  <c r="D366" i="5"/>
  <c r="D72" i="7" s="1"/>
  <c r="H1200" i="5"/>
  <c r="F242" i="7" s="1"/>
  <c r="H1522" i="5"/>
  <c r="F287" i="7" s="1"/>
  <c r="B2487" i="5"/>
  <c r="B447" i="7" s="1"/>
  <c r="L758" i="5"/>
  <c r="H159" i="7" s="1"/>
  <c r="B1542" i="5"/>
  <c r="L298" i="7" s="1"/>
  <c r="D1050" i="5"/>
  <c r="D214" i="7" s="1"/>
  <c r="B1147" i="5"/>
  <c r="L240" i="7" s="1"/>
  <c r="P2221" i="5"/>
  <c r="J371" i="7" s="1"/>
  <c r="C2430" i="5"/>
  <c r="C433" i="7" s="1"/>
  <c r="B2775" i="5"/>
  <c r="B508" i="7" s="1"/>
  <c r="B1221" i="5"/>
  <c r="L251" i="7" s="1"/>
  <c r="L684" i="5"/>
  <c r="H145" i="7" s="1"/>
  <c r="J905" i="5"/>
  <c r="G187" i="7" s="1"/>
  <c r="B99" i="5"/>
  <c r="L27" i="7" s="1"/>
  <c r="B1528" i="5"/>
  <c r="D2163"/>
  <c r="D367" i="7" s="1"/>
  <c r="J1449" i="5"/>
  <c r="G273" i="7" s="1"/>
  <c r="B778" i="5"/>
  <c r="L170" i="7" s="1"/>
  <c r="H1887" i="5"/>
  <c r="F327" i="7" s="1"/>
  <c r="B1465" i="5"/>
  <c r="L281" i="7" s="1"/>
  <c r="F290" i="5"/>
  <c r="E58" i="7" s="1"/>
  <c r="B1061" i="5"/>
  <c r="L217" i="7" s="1"/>
  <c r="B376" i="5"/>
  <c r="L75" i="7" s="1"/>
  <c r="B922" i="5"/>
  <c r="L196" i="7" s="1"/>
  <c r="D2162" i="5"/>
  <c r="D366" i="7" s="1"/>
  <c r="D1049" i="5"/>
  <c r="D213" i="7" s="1"/>
  <c r="B2166" i="5"/>
  <c r="D2289"/>
  <c r="D396" i="7" s="1"/>
  <c r="D903" i="5"/>
  <c r="D185" i="7" s="1"/>
  <c r="B1466" i="5"/>
  <c r="L282" i="7" s="1"/>
  <c r="C2106" i="5"/>
  <c r="H1448"/>
  <c r="F272" i="7" s="1"/>
  <c r="J1887" i="5"/>
  <c r="G327" i="7" s="1"/>
  <c r="L832" i="5"/>
  <c r="H173" i="7" s="1"/>
  <c r="C91" i="5"/>
  <c r="C27" i="7" s="1"/>
  <c r="B2302" i="5"/>
  <c r="B409" i="7" s="1"/>
  <c r="B2484" i="5"/>
  <c r="B463" i="7" s="1"/>
  <c r="J903" i="5"/>
  <c r="G185" i="7" s="1"/>
  <c r="B2435" i="5"/>
  <c r="B438" i="7" s="1"/>
  <c r="C2579" i="5"/>
  <c r="C471" i="7" s="1"/>
  <c r="B764" i="5"/>
  <c r="B2301"/>
  <c r="B408" i="7" s="1"/>
  <c r="H289" i="5"/>
  <c r="AE291" s="1"/>
  <c r="B1976"/>
  <c r="L342" i="7" s="1"/>
  <c r="L2361" i="5"/>
  <c r="H416" i="7" s="1"/>
  <c r="B772" i="5"/>
  <c r="L164" i="7" s="1"/>
  <c r="B1212" i="5"/>
  <c r="L242" i="7" s="1"/>
  <c r="F833" i="5"/>
  <c r="E174" i="7" s="1"/>
  <c r="E186" i="5"/>
  <c r="M53" i="7" s="1"/>
  <c r="B2229" i="5"/>
  <c r="B379" i="7" s="1"/>
  <c r="H831" i="5"/>
  <c r="F172" i="7" s="1"/>
  <c r="H2638" i="5"/>
  <c r="F478" i="7" s="1"/>
  <c r="B919" i="5"/>
  <c r="L193" i="7" s="1"/>
  <c r="B7" i="5"/>
  <c r="C1449"/>
  <c r="C273" i="7" s="1"/>
  <c r="H1325" i="5"/>
  <c r="F257" i="7" s="1"/>
  <c r="B1067" i="5"/>
  <c r="L223" i="7" s="1"/>
  <c r="E1832" i="5"/>
  <c r="M323" i="7" s="1"/>
  <c r="L976" i="5"/>
  <c r="H199" i="7" s="1"/>
  <c r="B2367" i="5"/>
  <c r="B422" i="7" s="1"/>
  <c r="C90" i="5"/>
  <c r="C26" i="7" s="1"/>
  <c r="F1811" i="5"/>
  <c r="E315" i="7" s="1"/>
  <c r="B2640" i="5"/>
  <c r="B480" i="7" s="1"/>
  <c r="B1825" i="5"/>
  <c r="L316" i="7" s="1"/>
  <c r="B767" i="5"/>
  <c r="L159" i="7" s="1"/>
  <c r="P2362" i="5"/>
  <c r="J417" i="7" s="1"/>
  <c r="B2364" i="5"/>
  <c r="B419" i="7" s="1"/>
  <c r="B2231" i="5"/>
  <c r="B381" i="7" s="1"/>
  <c r="D1450" i="5"/>
  <c r="D274" i="7" s="1"/>
  <c r="B303" i="5"/>
  <c r="L60" i="7" s="1"/>
  <c r="F164" i="5"/>
  <c r="E42" i="7" s="1"/>
  <c r="H164" i="5"/>
  <c r="F42" i="7" s="1"/>
  <c r="E1147" i="5"/>
  <c r="M240" i="7" s="1"/>
  <c r="B988" i="5"/>
  <c r="L203" i="7" s="1"/>
  <c r="D12" i="5"/>
  <c r="D9" i="7" s="1"/>
  <c r="L2362" i="5"/>
  <c r="H417" i="7" s="1"/>
  <c r="B1745" i="5"/>
  <c r="L300" i="7" s="1"/>
  <c r="B384" i="5"/>
  <c r="L83" i="7" s="1"/>
  <c r="C1963" i="5"/>
  <c r="C340" i="7" s="1"/>
  <c r="D1810" i="5"/>
  <c r="D314" i="7" s="1"/>
  <c r="F2580" i="5"/>
  <c r="E472" i="7" s="1"/>
  <c r="J2222" i="5"/>
  <c r="G372" i="7" s="1"/>
  <c r="L1124" i="5"/>
  <c r="H229" i="7" s="1"/>
  <c r="F2362" i="5"/>
  <c r="E417" i="7" s="1"/>
  <c r="F1888" i="5"/>
  <c r="E328" i="7" s="1"/>
  <c r="C2580" i="5"/>
  <c r="C472" i="7" s="1"/>
  <c r="M8" i="5"/>
  <c r="T2221"/>
  <c r="L371" i="7" s="1"/>
  <c r="T2289" i="5"/>
  <c r="L396" i="7" s="1"/>
  <c r="B1754" i="5"/>
  <c r="L309" i="7" s="1"/>
  <c r="B12" i="5"/>
  <c r="B9" i="7" s="1"/>
  <c r="H833" i="5"/>
  <c r="F174" i="7" s="1"/>
  <c r="E4" i="5"/>
  <c r="D3" i="7" s="1"/>
  <c r="D6" s="1"/>
  <c r="B1902" i="5"/>
  <c r="L329" i="7" s="1"/>
  <c r="B1140" i="5"/>
  <c r="L233" i="7" s="1"/>
  <c r="B843" i="5"/>
  <c r="L176" i="7" s="1"/>
  <c r="B377" i="5"/>
  <c r="L76" i="7" s="1"/>
  <c r="C104" i="5"/>
  <c r="L32" i="7" s="1"/>
  <c r="C584" i="5"/>
  <c r="C119" i="7" s="1"/>
  <c r="B606" i="5"/>
  <c r="B602"/>
  <c r="L126" i="7" s="1"/>
  <c r="B596" i="5"/>
  <c r="L120" i="7" s="1"/>
  <c r="D584" i="5"/>
  <c r="D119" i="7" s="1"/>
  <c r="B584" i="5"/>
  <c r="B119" i="7" s="1"/>
  <c r="B1060" i="5"/>
  <c r="L216" i="7" s="1"/>
  <c r="B1340" i="5"/>
  <c r="L261" i="7" s="1"/>
  <c r="B1336" i="5"/>
  <c r="L257" i="7" s="1"/>
  <c r="C903" i="5"/>
  <c r="C185" i="7" s="1"/>
  <c r="F1201" i="5"/>
  <c r="E243" i="7" s="1"/>
  <c r="H2430" i="5"/>
  <c r="F433" i="7" s="1"/>
  <c r="B770" i="5"/>
  <c r="L162" i="7" s="1"/>
  <c r="B1809" i="5"/>
  <c r="B313" i="7" s="1"/>
  <c r="B90" i="5"/>
  <c r="B26" i="7" s="1"/>
  <c r="H976" i="5"/>
  <c r="F199" i="7" s="1"/>
  <c r="C758" i="5"/>
  <c r="C159" i="7" s="1"/>
  <c r="B831" i="5"/>
  <c r="B172" i="7" s="1"/>
  <c r="B2436" i="5"/>
  <c r="B439" i="7" s="1"/>
  <c r="F12" i="5"/>
  <c r="AD14" s="1"/>
  <c r="H1811"/>
  <c r="F315" i="7" s="1"/>
  <c r="P2222" i="5"/>
  <c r="J372" i="7" s="1"/>
  <c r="B1454" i="5"/>
  <c r="B766"/>
  <c r="L158" i="7" s="1"/>
  <c r="B1464" i="5"/>
  <c r="L280" i="7" s="1"/>
  <c r="B1200" i="5"/>
  <c r="B242" i="7" s="1"/>
  <c r="H2097" i="5"/>
  <c r="F359" i="7" s="1"/>
  <c r="C2109" i="5"/>
  <c r="B2029"/>
  <c r="B348" i="7" s="1"/>
  <c r="C13" i="5"/>
  <c r="C10" i="7" s="1"/>
  <c r="H758" i="5"/>
  <c r="F159" i="7" s="1"/>
  <c r="J832" i="5"/>
  <c r="G173" i="7" s="1"/>
  <c r="B1065" i="5"/>
  <c r="L221" i="7" s="1"/>
  <c r="F2031" i="5"/>
  <c r="E350" i="7" s="1"/>
  <c r="C2361" i="5"/>
  <c r="C416" i="7" s="1"/>
  <c r="D1327" i="5"/>
  <c r="D259" i="7" s="1"/>
  <c r="C1738" i="5"/>
  <c r="C302" i="7" s="1"/>
  <c r="B992" i="5"/>
  <c r="L207" i="7" s="1"/>
  <c r="B1903" i="5"/>
  <c r="L330" i="7" s="1"/>
  <c r="J1049" i="5"/>
  <c r="G213" i="7" s="1"/>
  <c r="F686" i="5"/>
  <c r="E147" i="7" s="1"/>
  <c r="B98" i="5"/>
  <c r="L26" i="7" s="1"/>
  <c r="N2222" i="5"/>
  <c r="I372" i="7" s="1"/>
  <c r="B1975" i="5"/>
  <c r="L341" i="7" s="1"/>
  <c r="B976" i="5"/>
  <c r="B199" i="7" s="1"/>
  <c r="B1822" i="5"/>
  <c r="L313" i="7" s="1"/>
  <c r="B2717" i="5"/>
  <c r="B498" i="7" s="1"/>
  <c r="B2361" i="5"/>
  <c r="B416" i="7" s="1"/>
  <c r="B1346" i="5"/>
  <c r="L267" i="7" s="1"/>
  <c r="B701" i="5"/>
  <c r="L153" i="7" s="1"/>
  <c r="H2361" i="5"/>
  <c r="F416" i="7" s="1"/>
  <c r="E1746" i="5"/>
  <c r="M301" i="7" s="1"/>
  <c r="C2429" i="5"/>
  <c r="C432" i="7" s="1"/>
  <c r="B768" i="5"/>
  <c r="L160" i="7" s="1"/>
  <c r="J1810" i="5"/>
  <c r="G314" i="7" s="1"/>
  <c r="B700" i="5"/>
  <c r="L152" i="7" s="1"/>
  <c r="B175" i="5"/>
  <c r="L42" i="7" s="1"/>
  <c r="L685" i="5"/>
  <c r="H146" i="7" s="1"/>
  <c r="D1811" i="5"/>
  <c r="D315" i="7" s="1"/>
  <c r="B1972" i="5"/>
  <c r="L338" i="7" s="1"/>
  <c r="B839" i="5"/>
  <c r="L172" i="7" s="1"/>
  <c r="C1200" i="5"/>
  <c r="C242" i="7" s="1"/>
  <c r="L2221" i="5"/>
  <c r="H371" i="7" s="1"/>
  <c r="B698" i="5"/>
  <c r="L150" i="7" s="1"/>
  <c r="C2221" i="5"/>
  <c r="C371" i="7" s="1"/>
  <c r="B2431" i="5"/>
  <c r="B434" i="7" s="1"/>
  <c r="D977" i="5"/>
  <c r="D200" i="7" s="1"/>
  <c r="L1327" i="5"/>
  <c r="H259" i="7" s="1"/>
  <c r="F1050" i="5"/>
  <c r="E214" i="7" s="1"/>
  <c r="B1743" i="5"/>
  <c r="U4"/>
  <c r="K3" i="7" s="1"/>
  <c r="F905" i="5"/>
  <c r="E187" i="7" s="1"/>
  <c r="B2370" i="5"/>
  <c r="B425" i="7" s="1"/>
  <c r="C2222" i="5"/>
  <c r="C372" i="7" s="1"/>
  <c r="B2298" i="5"/>
  <c r="B405" i="7" s="1"/>
  <c r="C1122" i="5"/>
  <c r="C227" i="7" s="1"/>
  <c r="F2222" i="5"/>
  <c r="E372" i="7" s="1"/>
  <c r="B1059" i="5"/>
  <c r="L215" i="7" s="1"/>
  <c r="B2296" i="5"/>
  <c r="B403" i="7" s="1"/>
  <c r="F2029" i="5"/>
  <c r="E348" i="7" s="1"/>
  <c r="B1058" i="5"/>
  <c r="L214" i="7" s="1"/>
  <c r="B1217" i="5"/>
  <c r="L247" i="7" s="1"/>
  <c r="J757" i="5"/>
  <c r="G158" i="7" s="1"/>
  <c r="B1139" i="5"/>
  <c r="L232" i="7" s="1"/>
  <c r="L2430" i="5"/>
  <c r="H433" i="7" s="1"/>
  <c r="C1737" i="5"/>
  <c r="C301" i="7" s="1"/>
  <c r="B26" i="5"/>
  <c r="L11" i="7" s="1"/>
  <c r="F1450" i="5"/>
  <c r="E274" i="7" s="1"/>
  <c r="D1887" i="5"/>
  <c r="D327" i="7" s="1"/>
  <c r="E704" i="5"/>
  <c r="M156" i="7" s="1"/>
  <c r="D978" i="5"/>
  <c r="D201" i="7" s="1"/>
  <c r="B1345" i="5"/>
  <c r="L266" i="7" s="1"/>
  <c r="J2163" i="5"/>
  <c r="G367" i="7" s="1"/>
  <c r="F2579" i="5"/>
  <c r="E471" i="7" s="1"/>
  <c r="B1531" i="5"/>
  <c r="L287" i="7" s="1"/>
  <c r="B1122" i="5"/>
  <c r="B227" i="7" s="1"/>
  <c r="H2637" i="5"/>
  <c r="F477" i="7" s="1"/>
  <c r="H1886" i="5"/>
  <c r="F326" i="7" s="1"/>
  <c r="D7" i="5"/>
  <c r="J1809"/>
  <c r="G313" i="7" s="1"/>
  <c r="B1134" i="5"/>
  <c r="L227" i="7" s="1"/>
  <c r="B1973" i="5"/>
  <c r="L339" i="7" s="1"/>
  <c r="D904" i="5"/>
  <c r="D186" i="7" s="1"/>
  <c r="B1146" i="5"/>
  <c r="L239" i="7" s="1"/>
  <c r="B693" i="5"/>
  <c r="L145" i="7" s="1"/>
  <c r="J1522" i="5"/>
  <c r="G287" i="7" s="1"/>
  <c r="J978" i="5"/>
  <c r="G201" i="7" s="1"/>
  <c r="B366" i="5"/>
  <c r="B72" i="7" s="1"/>
  <c r="B1829" i="5"/>
  <c r="L320" i="7" s="1"/>
  <c r="D2031" i="5"/>
  <c r="D350" i="7" s="1"/>
  <c r="B1755" i="5"/>
  <c r="L310" i="7" s="1"/>
  <c r="B1334" i="5"/>
  <c r="B1143"/>
  <c r="L236" i="7" s="1"/>
  <c r="C2660" i="5"/>
  <c r="L482" i="7" s="1"/>
  <c r="H2163" i="5"/>
  <c r="F367" i="7" s="1"/>
  <c r="D1326" i="5"/>
  <c r="D258" i="7" s="1"/>
  <c r="L1521" i="5"/>
  <c r="H286" i="7" s="1"/>
  <c r="C1887" i="5"/>
  <c r="C327" i="7" s="1"/>
  <c r="J1326" i="5"/>
  <c r="G258" i="7" s="1"/>
  <c r="J686" i="5"/>
  <c r="G147" i="7" s="1"/>
  <c r="F1326" i="5"/>
  <c r="E258" i="7" s="1"/>
  <c r="D2222" i="5"/>
  <c r="D372" i="7" s="1"/>
  <c r="C1326" i="5"/>
  <c r="C258" i="7" s="1"/>
  <c r="J831" i="5"/>
  <c r="G172" i="7" s="1"/>
  <c r="B1066" i="5"/>
  <c r="L222" i="7" s="1"/>
  <c r="D2430" i="5"/>
  <c r="D433" i="7" s="1"/>
  <c r="F2290" i="5"/>
  <c r="E397" i="7" s="1"/>
  <c r="J1521" i="5"/>
  <c r="G286" i="7" s="1"/>
  <c r="C367" i="5"/>
  <c r="C73" i="7" s="1"/>
  <c r="J976" i="5"/>
  <c r="G199" i="7" s="1"/>
  <c r="L2031" i="5"/>
  <c r="H350" i="7" s="1"/>
  <c r="B702" i="5"/>
  <c r="L154" i="7" s="1"/>
  <c r="C1202" i="5"/>
  <c r="C244" i="7" s="1"/>
  <c r="C2659" i="5"/>
  <c r="L481" i="7" s="1"/>
  <c r="C2096" i="5"/>
  <c r="C358" i="7" s="1"/>
  <c r="B1057" i="5"/>
  <c r="L213" i="7" s="1"/>
  <c r="B2230" i="5"/>
  <c r="B380" i="7" s="1"/>
  <c r="B2105" i="5"/>
  <c r="B2236"/>
  <c r="C384" i="7" s="1"/>
  <c r="B1068" i="5"/>
  <c r="L224" i="7" s="1"/>
  <c r="F1123" i="5"/>
  <c r="E228" i="7" s="1"/>
  <c r="D1521" i="5"/>
  <c r="D286" i="7" s="1"/>
  <c r="H1738" i="5"/>
  <c r="F302" i="7" s="1"/>
  <c r="D1325" i="5"/>
  <c r="D257" i="7" s="1"/>
  <c r="B1897" i="5"/>
  <c r="D1736"/>
  <c r="D300" i="7" s="1"/>
  <c r="D1200" i="5"/>
  <c r="D242" i="7" s="1"/>
  <c r="J1051" i="5"/>
  <c r="G215" i="7" s="1"/>
  <c r="H1888" i="5"/>
  <c r="F328" i="7" s="1"/>
  <c r="B35" i="5"/>
  <c r="L20" i="7" s="1"/>
  <c r="H2362" i="5"/>
  <c r="F417" i="7" s="1"/>
  <c r="L759" i="5"/>
  <c r="H160" i="7" s="1"/>
  <c r="B2489" i="5"/>
  <c r="V2290"/>
  <c r="M397" i="7" s="1"/>
  <c r="C684" i="5"/>
  <c r="C145" i="7" s="1"/>
  <c r="B2104" i="5"/>
  <c r="L358" i="7" s="1"/>
  <c r="C2290" i="5"/>
  <c r="C397" i="7" s="1"/>
  <c r="B2774" i="5"/>
  <c r="B506" i="7" s="1"/>
  <c r="J1450" i="5"/>
  <c r="G274" i="7" s="1"/>
  <c r="D832" i="5"/>
  <c r="D173" i="7" s="1"/>
  <c r="C1448" i="5"/>
  <c r="C272" i="7" s="1"/>
  <c r="B1349" i="5"/>
  <c r="L270" i="7" s="1"/>
  <c r="J2362" i="5"/>
  <c r="G417" i="7" s="1"/>
  <c r="C1888" i="5"/>
  <c r="C328" i="7" s="1"/>
  <c r="B1540" i="5"/>
  <c r="L296" i="7" s="1"/>
  <c r="B2295" i="5"/>
  <c r="B402" i="7" s="1"/>
  <c r="B311" i="5"/>
  <c r="L68" i="7" s="1"/>
  <c r="L905" i="5"/>
  <c r="H187" i="7" s="1"/>
  <c r="B385" i="5"/>
  <c r="L84" i="7" s="1"/>
  <c r="B2376" i="5"/>
  <c r="C429" i="7" s="1"/>
  <c r="B774" i="5"/>
  <c r="L166" i="7" s="1"/>
  <c r="B1532" i="5"/>
  <c r="L288" i="7" s="1"/>
  <c r="L1523" i="5"/>
  <c r="H288" i="7" s="1"/>
  <c r="D13" i="5"/>
  <c r="D10" i="7" s="1"/>
  <c r="H1327" i="5"/>
  <c r="F259" i="7" s="1"/>
  <c r="E1747" i="5"/>
  <c r="M302" i="7" s="1"/>
  <c r="B176" i="5"/>
  <c r="L43" i="7" s="1"/>
  <c r="B2649" i="5"/>
  <c r="B489" i="7" s="1"/>
  <c r="B312" i="5"/>
  <c r="L69" i="7" s="1"/>
  <c r="F1887" i="5"/>
  <c r="E327" i="7" s="1"/>
  <c r="F1202" i="5"/>
  <c r="E244" i="7" s="1"/>
  <c r="H2289" i="5"/>
  <c r="F396" i="7" s="1"/>
  <c r="B920" i="5"/>
  <c r="L194" i="7" s="1"/>
  <c r="B101" i="5"/>
  <c r="L29" i="7" s="1"/>
  <c r="J1325" i="5"/>
  <c r="G257" i="7" s="1"/>
  <c r="B1467" i="5"/>
  <c r="L283" i="7" s="1"/>
  <c r="B106" i="5"/>
  <c r="L34" i="7" s="1"/>
  <c r="C2658" i="5"/>
  <c r="L480" i="7" s="1"/>
  <c r="B1752" i="5"/>
  <c r="L307" i="7" s="1"/>
  <c r="C1736" i="5"/>
  <c r="C300" i="7" s="1"/>
  <c r="H1049" i="5"/>
  <c r="F213" i="7" s="1"/>
  <c r="D2096" i="5"/>
  <c r="D358" i="7" s="1"/>
  <c r="D759" i="5"/>
  <c r="D160" i="7" s="1"/>
  <c r="B186" i="5"/>
  <c r="L53" i="7" s="1"/>
  <c r="B1457" i="5"/>
  <c r="L273" i="7" s="1"/>
  <c r="B1055" i="5"/>
  <c r="J1448"/>
  <c r="G272" i="7" s="1"/>
  <c r="F91" i="5"/>
  <c r="E27" i="7" s="1"/>
  <c r="C2655" i="5"/>
  <c r="L477" i="7" s="1"/>
  <c r="B163" i="5"/>
  <c r="B41" i="7" s="1"/>
  <c r="C831" i="5"/>
  <c r="C172" i="7" s="1"/>
  <c r="B1456" i="5"/>
  <c r="L272" i="7" s="1"/>
  <c r="B108" i="5"/>
  <c r="L36" i="7" s="1"/>
  <c r="B837" i="5"/>
  <c r="C1811"/>
  <c r="C315" i="7" s="1"/>
  <c r="L1050" i="5"/>
  <c r="H214" i="7" s="1"/>
  <c r="R2290" i="5"/>
  <c r="K397" i="7" s="1"/>
  <c r="B36" i="5"/>
  <c r="L21" i="7" s="1"/>
  <c r="C165" i="5"/>
  <c r="C43" i="7" s="1"/>
  <c r="B2306" i="5"/>
  <c r="B2363"/>
  <c r="B418" i="7" s="1"/>
  <c r="L7" i="5"/>
  <c r="L1449"/>
  <c r="H273" i="7" s="1"/>
  <c r="L833" i="5"/>
  <c r="H174" i="7" s="1"/>
  <c r="H2162" i="5"/>
  <c r="F366" i="7" s="1"/>
  <c r="B298" i="5"/>
  <c r="B2038"/>
  <c r="B2655"/>
  <c r="K477" i="7" s="1"/>
  <c r="B1458" i="5"/>
  <c r="L274" i="7" s="1"/>
  <c r="B1753" i="5"/>
  <c r="L308" i="7" s="1"/>
  <c r="B2650" i="5"/>
  <c r="B490" i="7" s="1"/>
  <c r="B371" i="5"/>
  <c r="B382"/>
  <c r="L81" i="7" s="1"/>
  <c r="B2439" i="5"/>
  <c r="B442" i="7" s="1"/>
  <c r="D290" i="5"/>
  <c r="D58" i="7" s="1"/>
  <c r="P2361" i="5"/>
  <c r="J416" i="7" s="1"/>
  <c r="F13" i="5"/>
  <c r="E10" i="7" s="1"/>
  <c r="B375" i="5"/>
  <c r="L74" i="7" s="1"/>
  <c r="E109" i="5"/>
  <c r="M37" i="7" s="1"/>
  <c r="J2637" i="5"/>
  <c r="G477" i="7" s="1"/>
  <c r="D831" i="5"/>
  <c r="D172" i="7" s="1"/>
  <c r="D684" i="5"/>
  <c r="D145" i="7" s="1"/>
  <c r="B300" i="5"/>
  <c r="L57" i="7" s="1"/>
  <c r="C1810" i="5"/>
  <c r="C314" i="7" s="1"/>
  <c r="B2437" i="5"/>
  <c r="B440" i="7" s="1"/>
  <c r="B2300" i="5"/>
  <c r="B407" i="7" s="1"/>
  <c r="B183" i="5"/>
  <c r="L50" i="7" s="1"/>
  <c r="L757" i="5"/>
  <c r="H158" i="7" s="1"/>
  <c r="D685" i="5"/>
  <c r="D146" i="7" s="1"/>
  <c r="B1831" i="5"/>
  <c r="L322" i="7" s="1"/>
  <c r="D1963" i="5"/>
  <c r="D340" i="7" s="1"/>
  <c r="K8" i="5"/>
  <c r="B2371"/>
  <c r="B426" i="7" s="1"/>
  <c r="D1961" i="5"/>
  <c r="D338" i="7" s="1"/>
  <c r="E1225" i="5"/>
  <c r="M255" i="7" s="1"/>
  <c r="B2040" i="5"/>
  <c r="L348" i="7" s="1"/>
  <c r="B842" i="5"/>
  <c r="L175" i="7" s="1"/>
  <c r="B8" i="5"/>
  <c r="B6" i="7" s="1"/>
  <c r="S8" i="5"/>
  <c r="D2638"/>
  <c r="D478" i="7" s="1"/>
  <c r="L2290" i="5"/>
  <c r="H397" i="7" s="1"/>
  <c r="B110" i="5"/>
  <c r="L38" i="7" s="1"/>
  <c r="B2772" i="5"/>
  <c r="B503" i="7" s="1"/>
  <c r="C2031" i="5"/>
  <c r="C350" i="7" s="1"/>
  <c r="B2042" i="5"/>
  <c r="L350" i="7" s="1"/>
  <c r="B996" i="5"/>
  <c r="L211" i="7" s="1"/>
  <c r="B109" i="5"/>
  <c r="L37" i="7" s="1"/>
  <c r="B1224" i="5"/>
  <c r="L254" i="7" s="1"/>
  <c r="D367" i="5"/>
  <c r="D73" i="7" s="1"/>
  <c r="F1449" i="5"/>
  <c r="E273" i="7" s="1"/>
  <c r="C92" i="5"/>
  <c r="C28" i="7" s="1"/>
  <c r="B1144" i="5"/>
  <c r="L237" i="7" s="1"/>
  <c r="B2297" i="5"/>
  <c r="B404" i="7" s="1"/>
  <c r="E1" i="5"/>
  <c r="B603"/>
  <c r="L127" i="7" s="1"/>
  <c r="B29" i="5"/>
  <c r="L14" i="7" s="1"/>
  <c r="B1342" i="5"/>
  <c r="L263" i="7" s="1"/>
  <c r="F759" i="5"/>
  <c r="E160" i="7" s="1"/>
  <c r="F1327" i="5"/>
  <c r="E259" i="7" s="1"/>
  <c r="D2098" i="5"/>
  <c r="D360" i="7" s="1"/>
  <c r="B2221" i="5"/>
  <c r="B371" i="7" s="1"/>
  <c r="B1907" i="5"/>
  <c r="L334" i="7" s="1"/>
  <c r="D758" i="5"/>
  <c r="D159" i="7" s="1"/>
  <c r="F163" i="5"/>
  <c r="AD165" s="1"/>
  <c r="H904"/>
  <c r="F186" i="7" s="1"/>
  <c r="L2162" i="5"/>
  <c r="H366" i="7" s="1"/>
  <c r="B2235" i="5"/>
  <c r="C383" i="7" s="1"/>
  <c r="N2290" i="5"/>
  <c r="I397" i="7" s="1"/>
  <c r="B2227" i="5"/>
  <c r="B377" i="7" s="1"/>
  <c r="B34" i="5"/>
  <c r="L19" i="7" s="1"/>
  <c r="L1450" i="5"/>
  <c r="H274" i="7" s="1"/>
  <c r="L1522" i="5"/>
  <c r="H287" i="7" s="1"/>
  <c r="B2304" i="5"/>
  <c r="B411" i="7" s="1"/>
  <c r="R2222" i="5"/>
  <c r="K372" i="7" s="1"/>
  <c r="H163" i="5"/>
  <c r="F41" i="7" s="1"/>
  <c r="B695" i="5"/>
  <c r="L147" i="7" s="1"/>
  <c r="C289" i="5"/>
  <c r="C57" i="7" s="1"/>
  <c r="B2582" i="5"/>
  <c r="B474" i="7" s="1"/>
  <c r="B912" i="5"/>
  <c r="L186" i="7" s="1"/>
  <c r="C1450" i="5"/>
  <c r="C274" i="7" s="1"/>
  <c r="B840" i="5"/>
  <c r="L173" i="7" s="1"/>
  <c r="N2362" i="5"/>
  <c r="I417" i="7" s="1"/>
  <c r="B1736" i="5"/>
  <c r="B300" i="7" s="1"/>
  <c r="D833" i="5"/>
  <c r="D174" i="7" s="1"/>
  <c r="B25" i="5"/>
  <c r="L10" i="7" s="1"/>
  <c r="B1341" i="5"/>
  <c r="L262" i="7" s="1"/>
  <c r="B691" i="5"/>
  <c r="V2362"/>
  <c r="M417" i="7" s="1"/>
  <c r="B180" i="5"/>
  <c r="L47" i="7" s="1"/>
  <c r="B995" i="5"/>
  <c r="L210" i="7" s="1"/>
  <c r="B32" i="5"/>
  <c r="L17" i="7" s="1"/>
  <c r="C2105" i="5"/>
  <c r="E996"/>
  <c r="M211" i="7" s="1"/>
  <c r="B2643" i="5"/>
  <c r="B483" i="7" s="1"/>
  <c r="L904" i="5"/>
  <c r="H186" i="7" s="1"/>
  <c r="B987" i="5"/>
  <c r="L202" i="7" s="1"/>
  <c r="B597" i="5"/>
  <c r="L121" i="7" s="1"/>
  <c r="B30" i="5"/>
  <c r="L15" i="7" s="1"/>
  <c r="B1062" i="5"/>
  <c r="L218" i="7" s="1"/>
  <c r="C976" i="5"/>
  <c r="C199" i="7" s="1"/>
  <c r="B846" i="5"/>
  <c r="L179" i="7" s="1"/>
  <c r="B2233" i="5"/>
  <c r="B2715"/>
  <c r="B496" i="7" s="1"/>
  <c r="B1901" i="5"/>
  <c r="L328" i="7" s="1"/>
  <c r="H1450" i="5"/>
  <c r="F274" i="7" s="1"/>
  <c r="B380" i="5"/>
  <c r="L79" i="7" s="1"/>
  <c r="C1123" i="5"/>
  <c r="C228" i="7" s="1"/>
  <c r="F977" i="5"/>
  <c r="E200" i="7" s="1"/>
  <c r="J2580" i="5"/>
  <c r="G472" i="7" s="1"/>
  <c r="H832" i="5"/>
  <c r="F173" i="7" s="1"/>
  <c r="B182" i="5"/>
  <c r="L49" i="7" s="1"/>
  <c r="B1974" i="5"/>
  <c r="L340" i="7" s="1"/>
  <c r="L2029" i="5"/>
  <c r="H348" i="7" s="1"/>
  <c r="B841" i="5"/>
  <c r="L174" i="7" s="1"/>
  <c r="C1523" i="5"/>
  <c r="C288" i="7" s="1"/>
  <c r="J2638" i="5"/>
  <c r="G478" i="7" s="1"/>
  <c r="D1888" i="5"/>
  <c r="D328" i="7" s="1"/>
  <c r="L2637" i="5"/>
  <c r="H477" i="7" s="1"/>
  <c r="D1448" i="5"/>
  <c r="D272" i="7" s="1"/>
  <c r="L1123" i="5"/>
  <c r="H228" i="7" s="1"/>
  <c r="F289" i="5"/>
  <c r="AD291" s="1"/>
  <c r="L1202"/>
  <c r="H244" i="7" s="1"/>
  <c r="F1521" i="5"/>
  <c r="E286" i="7" s="1"/>
  <c r="C833" i="5"/>
  <c r="C174" i="7" s="1"/>
  <c r="H290" i="5"/>
  <c r="F58" i="7" s="1"/>
  <c r="F978" i="5"/>
  <c r="E201" i="7" s="1"/>
  <c r="J1201" i="5"/>
  <c r="G243" i="7" s="1"/>
  <c r="J759" i="5"/>
  <c r="G160" i="7" s="1"/>
  <c r="J1523" i="5"/>
  <c r="G288" i="7" s="1"/>
  <c r="B1536" i="5"/>
  <c r="L292" i="7" s="1"/>
  <c r="D90" i="5"/>
  <c r="D26" i="7" s="1"/>
  <c r="B185" i="5"/>
  <c r="L52" i="7" s="1"/>
  <c r="J1888" i="5"/>
  <c r="G328" i="7" s="1"/>
  <c r="C1521" i="5"/>
  <c r="C286" i="7" s="1"/>
  <c r="B2224" i="5"/>
  <c r="B374" i="7" s="1"/>
  <c r="J2029" i="5"/>
  <c r="G348" i="7" s="1"/>
  <c r="J758" i="5"/>
  <c r="G159" i="7" s="1"/>
  <c r="E312" i="5"/>
  <c r="M69" i="7" s="1"/>
  <c r="E36" i="5"/>
  <c r="M21" i="7" s="1"/>
  <c r="J1327" i="5"/>
  <c r="G259" i="7" s="1"/>
  <c r="E778" i="5"/>
  <c r="M170" i="7" s="1"/>
  <c r="B24" i="5"/>
  <c r="L9" i="7" s="1"/>
  <c r="B2372" i="5"/>
  <c r="B427" i="7" s="1"/>
  <c r="B96" i="5"/>
  <c r="F685"/>
  <c r="E146" i="7" s="1"/>
  <c r="B696" i="5"/>
  <c r="L148" i="7" s="1"/>
  <c r="G8" i="5"/>
  <c r="B2043"/>
  <c r="L351" i="7" s="1"/>
  <c r="B374" i="5"/>
  <c r="L73" i="7" s="1"/>
  <c r="B1908" i="5"/>
  <c r="L335" i="7" s="1"/>
  <c r="H1201" i="5"/>
  <c r="F243" i="7" s="1"/>
  <c r="B990" i="5"/>
  <c r="L205" i="7" s="1"/>
  <c r="B2102" i="5"/>
  <c r="O8"/>
  <c r="C2657"/>
  <c r="L479" i="7" s="1"/>
  <c r="B383" i="5"/>
  <c r="L82" i="7" s="1"/>
  <c r="J1886" i="5"/>
  <c r="G326" i="7" s="1"/>
  <c r="D1886" i="5"/>
  <c r="D326" i="7" s="1"/>
  <c r="B2642" i="5"/>
  <c r="B482" i="7" s="1"/>
  <c r="J1811" i="5"/>
  <c r="G315" i="7" s="1"/>
  <c r="C1051" i="5"/>
  <c r="C215" i="7" s="1"/>
  <c r="D1123" i="5"/>
  <c r="D228" i="7" s="1"/>
  <c r="C977" i="5"/>
  <c r="C200" i="7" s="1"/>
  <c r="F2637" i="5"/>
  <c r="E477" i="7" s="1"/>
  <c r="J1124" i="5"/>
  <c r="G229" i="7" s="1"/>
  <c r="B105" i="5"/>
  <c r="L33" i="7" s="1"/>
  <c r="C2162" i="5"/>
  <c r="C366" i="7" s="1"/>
  <c r="B982" i="5"/>
  <c r="H7"/>
  <c r="H1124"/>
  <c r="F229" i="7" s="1"/>
  <c r="H1202" i="5"/>
  <c r="F244" i="7" s="1"/>
  <c r="F2162" i="5"/>
  <c r="E366" i="7" s="1"/>
  <c r="B2303" i="5"/>
  <c r="B410" i="7" s="1"/>
  <c r="B994" i="5"/>
  <c r="L209" i="7" s="1"/>
  <c r="B2162" i="5"/>
  <c r="B366" i="7" s="1"/>
  <c r="B1448" i="5"/>
  <c r="B272" i="7" s="1"/>
  <c r="B174" i="5"/>
  <c r="L41" i="7" s="1"/>
  <c r="D2362" i="5"/>
  <c r="D417" i="7" s="1"/>
  <c r="J1200" i="5"/>
  <c r="G242" i="7" s="1"/>
  <c r="B776" i="5"/>
  <c r="L168" i="7" s="1"/>
  <c r="B1138" i="5"/>
  <c r="L231" i="7" s="1"/>
  <c r="C585" i="5"/>
  <c r="C120" i="7" s="1"/>
  <c r="D585" i="5"/>
  <c r="D120" i="7" s="1"/>
  <c r="B771" i="5"/>
  <c r="L163" i="7" s="1"/>
  <c r="B1826" i="5"/>
  <c r="L317" i="7" s="1"/>
  <c r="T1070" i="5"/>
  <c r="T1884"/>
  <c r="T2711"/>
  <c r="T2309"/>
  <c r="T2219"/>
  <c r="S2094"/>
  <c r="S88"/>
  <c r="F291"/>
  <c r="E59" i="7" s="1"/>
  <c r="H291" i="5"/>
  <c r="F59" i="7" s="1"/>
  <c r="D291" i="5"/>
  <c r="D59" i="7" s="1"/>
  <c r="T755" i="5"/>
  <c r="H165"/>
  <c r="F43" i="7" s="1"/>
  <c r="D165" i="5"/>
  <c r="D43" i="7" s="1"/>
  <c r="F165" i="5"/>
  <c r="E43" i="7" s="1"/>
  <c r="I166" i="5"/>
  <c r="F44" i="7" s="1"/>
  <c r="D92" i="5"/>
  <c r="D28" i="7" s="1"/>
  <c r="F92" i="5"/>
  <c r="E28" i="7" s="1"/>
  <c r="G15" i="5"/>
  <c r="E12" i="7" s="1"/>
  <c r="E15" i="5"/>
  <c r="D12" i="7" s="1"/>
  <c r="B2450" i="5"/>
  <c r="C449" i="7" s="1"/>
  <c r="B648" i="5"/>
  <c r="L136" i="7" s="1"/>
  <c r="B644" i="5"/>
  <c r="L132" i="7" s="1"/>
  <c r="E655" i="5"/>
  <c r="M143" i="7" s="1"/>
  <c r="B652" i="5"/>
  <c r="L140" i="7" s="1"/>
  <c r="B642" i="5"/>
  <c r="F635"/>
  <c r="E133" i="7" s="1"/>
  <c r="D635" i="5"/>
  <c r="D133" i="7" s="1"/>
  <c r="C635" i="5"/>
  <c r="C133" i="7" s="1"/>
  <c r="F634" i="5"/>
  <c r="E132" i="7" s="1"/>
  <c r="B651" i="5"/>
  <c r="L139" i="7" s="1"/>
  <c r="D634" i="5"/>
  <c r="D132" i="7" s="1"/>
  <c r="F636" i="5"/>
  <c r="E134" i="7" s="1"/>
  <c r="B654" i="5"/>
  <c r="L142" i="7" s="1"/>
  <c r="D636" i="5"/>
  <c r="D134" i="7" s="1"/>
  <c r="B655" i="5"/>
  <c r="L143" i="7" s="1"/>
  <c r="B647" i="5"/>
  <c r="L135" i="7" s="1"/>
  <c r="B646" i="5"/>
  <c r="L134" i="7" s="1"/>
  <c r="C634" i="5"/>
  <c r="C132" i="7" s="1"/>
  <c r="B634" i="5"/>
  <c r="B132" i="7" s="1"/>
  <c r="C636" i="5"/>
  <c r="C134" i="7" s="1"/>
  <c r="B645" i="5"/>
  <c r="L133" i="7" s="1"/>
  <c r="B653" i="5"/>
  <c r="L141" i="7" s="1"/>
  <c r="B649" i="5"/>
  <c r="L137" i="7" s="1"/>
  <c r="H446"/>
  <c r="H465"/>
  <c r="F445"/>
  <c r="F464"/>
  <c r="D447"/>
  <c r="D466"/>
  <c r="D446"/>
  <c r="D465"/>
  <c r="F447"/>
  <c r="F466"/>
  <c r="H447"/>
  <c r="H466"/>
  <c r="W2231" i="5"/>
  <c r="M381" i="7" s="1"/>
  <c r="D445"/>
  <c r="D464"/>
  <c r="F446"/>
  <c r="F465"/>
  <c r="H445"/>
  <c r="H464"/>
  <c r="B2427" i="5"/>
  <c r="T2577" s="1"/>
  <c r="B325" i="7"/>
  <c r="B476"/>
  <c r="B71"/>
  <c r="B1734" i="5"/>
  <c r="T1807" s="1"/>
  <c r="B1959"/>
  <c r="S2027" s="1"/>
  <c r="B144" i="7"/>
  <c r="B8"/>
  <c r="B445"/>
  <c r="B161" i="5"/>
  <c r="S287" s="1"/>
  <c r="B312" i="7"/>
  <c r="B88" i="5"/>
  <c r="S161" s="1"/>
  <c r="B446" i="7"/>
  <c r="B256"/>
  <c r="B370"/>
  <c r="B2480" i="5"/>
  <c r="B461" i="7" s="1"/>
  <c r="B2476" i="5"/>
  <c r="B457" i="7" s="1"/>
  <c r="B2475" i="5"/>
  <c r="B456" i="7" s="1"/>
  <c r="B2474" i="5"/>
  <c r="B455" i="7" s="1"/>
  <c r="B2479" i="5"/>
  <c r="B460" i="7" s="1"/>
  <c r="B2481" i="5"/>
  <c r="B462" i="7" s="1"/>
  <c r="B2478" i="5"/>
  <c r="B459" i="7" s="1"/>
  <c r="B2477" i="5"/>
  <c r="B458" i="7" s="1"/>
  <c r="B2473" i="5"/>
  <c r="B454" i="7" s="1"/>
  <c r="B2491" i="5"/>
  <c r="C468" i="7" s="1"/>
  <c r="E2287" i="5"/>
  <c r="F395" i="7" s="1"/>
  <c r="E2359" i="5"/>
  <c r="F415" i="7" s="1"/>
  <c r="E2484" i="5"/>
  <c r="T1120"/>
  <c r="T997"/>
  <c r="D1755"/>
  <c r="W2367"/>
  <c r="M422" i="7" s="1"/>
  <c r="W2300" i="5"/>
  <c r="M407" i="7" s="1"/>
  <c r="T2451" i="5"/>
  <c r="B2444"/>
  <c r="E2443"/>
  <c r="D444" i="7" s="1"/>
  <c r="B2445" i="5"/>
  <c r="B2446"/>
  <c r="B2443"/>
  <c r="B2448"/>
  <c r="T2769"/>
  <c r="T1834"/>
  <c r="T974"/>
  <c r="B184" i="7"/>
  <c r="T2585" i="5"/>
  <c r="T829"/>
  <c r="F57" i="7"/>
  <c r="T2110" i="5"/>
  <c r="T386"/>
  <c r="T705"/>
  <c r="S682"/>
  <c r="T314"/>
  <c r="B271" i="7"/>
  <c r="T1519" i="5"/>
  <c r="B285" i="7"/>
  <c r="U1469" i="5"/>
  <c r="T779"/>
  <c r="B171" i="7"/>
  <c r="T901" i="5"/>
  <c r="T2287"/>
  <c r="T2169"/>
  <c r="T2237"/>
  <c r="T2359"/>
  <c r="B198" i="7"/>
  <c r="T924" i="5"/>
  <c r="T1047"/>
  <c r="T1148"/>
  <c r="T1977"/>
  <c r="W2303"/>
  <c r="M410" i="7" s="1"/>
  <c r="T2661" i="5"/>
  <c r="AD2661" s="1"/>
  <c r="AE2661" s="1"/>
  <c r="T2492"/>
  <c r="B395" i="7"/>
  <c r="B347"/>
  <c r="U1757" i="5"/>
  <c r="D1747"/>
  <c r="T2427"/>
  <c r="T2160"/>
  <c r="B241" i="7"/>
  <c r="D1746" i="5"/>
  <c r="T1198"/>
  <c r="T2044"/>
  <c r="T2635"/>
  <c r="D109"/>
  <c r="M471" i="7"/>
  <c r="D489"/>
  <c r="C2472" i="5"/>
  <c r="C453" i="7" s="1"/>
  <c r="C2471" i="5"/>
  <c r="C452" i="7" s="1"/>
  <c r="D2471" i="5"/>
  <c r="D452" i="7" s="1"/>
  <c r="E2469" i="5"/>
  <c r="F451" i="7" s="1"/>
  <c r="H2472" i="5"/>
  <c r="F453" i="7" s="1"/>
  <c r="H2471" i="5"/>
  <c r="F452" i="7" s="1"/>
  <c r="T2469" i="5"/>
  <c r="L2472"/>
  <c r="H453" i="7" s="1"/>
  <c r="L2471" i="5"/>
  <c r="H452" i="7" s="1"/>
  <c r="B2471" i="5"/>
  <c r="B452" i="7" s="1"/>
  <c r="D2472" i="5"/>
  <c r="D453" i="7" s="1"/>
  <c r="S632" i="5" l="1"/>
  <c r="T188"/>
  <c r="M130" i="7"/>
  <c r="L130"/>
  <c r="L129"/>
  <c r="T1909" i="5"/>
  <c r="D41" i="7"/>
  <c r="B466"/>
  <c r="L359"/>
  <c r="L360"/>
  <c r="E26"/>
  <c r="D57"/>
  <c r="L363"/>
  <c r="T2377" i="5"/>
  <c r="B444" i="7"/>
  <c r="S38" i="5"/>
  <c r="AC92"/>
  <c r="E57" i="7"/>
  <c r="AC14" i="5"/>
  <c r="E41" i="7"/>
  <c r="E9"/>
  <c r="AE165" i="5"/>
  <c r="S111"/>
  <c r="D463" i="7"/>
</calcChain>
</file>

<file path=xl/sharedStrings.xml><?xml version="1.0" encoding="utf-8"?>
<sst xmlns="http://schemas.openxmlformats.org/spreadsheetml/2006/main" count="127" uniqueCount="71">
  <si>
    <t>1А</t>
  </si>
  <si>
    <t>2А</t>
  </si>
  <si>
    <t>1Б</t>
  </si>
  <si>
    <t>2Б</t>
  </si>
  <si>
    <t>А</t>
  </si>
  <si>
    <t>Б</t>
  </si>
  <si>
    <t>ENG</t>
  </si>
  <si>
    <t>7.1.</t>
  </si>
  <si>
    <t>5.1.</t>
  </si>
  <si>
    <t>5.2.</t>
  </si>
  <si>
    <t>5.3.</t>
  </si>
  <si>
    <t>7.2.</t>
  </si>
  <si>
    <t>8.1.</t>
  </si>
  <si>
    <t>4.0 - 4.9</t>
  </si>
  <si>
    <t>3.0 - 3.1</t>
  </si>
  <si>
    <t>4.0 - 4.2</t>
  </si>
  <si>
    <t>1.0 - 1.1</t>
  </si>
  <si>
    <t>4.0 - 4.1</t>
  </si>
  <si>
    <t>5.0 - 5.1</t>
  </si>
  <si>
    <t>3.0 - 3.3</t>
  </si>
  <si>
    <t>4.0 - 4.4</t>
  </si>
  <si>
    <t>5.0 - 5.5</t>
  </si>
  <si>
    <t>6.0 - 6.6</t>
  </si>
  <si>
    <t>1.0.</t>
  </si>
  <si>
    <t>7.0 - 7.1</t>
  </si>
  <si>
    <t>2.0 - 2.2</t>
  </si>
  <si>
    <t>2А.0 - 2А.1</t>
  </si>
  <si>
    <t>3А.0 - 3А.2</t>
  </si>
  <si>
    <t>7.0 - 7.2</t>
  </si>
  <si>
    <t>6.0 - 6.1</t>
  </si>
  <si>
    <t>6А.5</t>
  </si>
  <si>
    <t>1.0 - 1.3</t>
  </si>
  <si>
    <t>3.0 - 3.5</t>
  </si>
  <si>
    <t>4.0 - 4.8</t>
  </si>
  <si>
    <t>5.0 - 5.6</t>
  </si>
  <si>
    <t>6.0 - 6.4</t>
  </si>
  <si>
    <t>8.0 - 8.5</t>
  </si>
  <si>
    <t>1.0 - 1.8</t>
  </si>
  <si>
    <t>2.1 - 2.4</t>
  </si>
  <si>
    <t>3.0 - 3.4</t>
  </si>
  <si>
    <t>1.0 - 1.5</t>
  </si>
  <si>
    <t>1.6 - 1.8</t>
  </si>
  <si>
    <t>4.5 - 4.6</t>
  </si>
  <si>
    <t>L1.0 - 1.1</t>
  </si>
  <si>
    <t>L3.0 - 3.2</t>
  </si>
  <si>
    <t>L4.0 - 4.1</t>
  </si>
  <si>
    <t>L5.0 - 5.1</t>
  </si>
  <si>
    <t>L6.0 - 6.1</t>
  </si>
  <si>
    <t>Ціна 1</t>
  </si>
  <si>
    <t>Ціна 2</t>
  </si>
  <si>
    <t>Ціна 3</t>
  </si>
  <si>
    <t>Ціна 4</t>
  </si>
  <si>
    <t>Ціна 5</t>
  </si>
  <si>
    <t>Ціна 6</t>
  </si>
  <si>
    <t>Ціна 7</t>
  </si>
  <si>
    <t>Ціна 8</t>
  </si>
  <si>
    <t>без ПДВ</t>
  </si>
  <si>
    <t>UA</t>
  </si>
  <si>
    <t xml:space="preserve"> </t>
  </si>
  <si>
    <t>Ціна 9</t>
  </si>
  <si>
    <t>Ціна 10</t>
  </si>
  <si>
    <t>1.0-1.1</t>
  </si>
  <si>
    <t>1А.1</t>
  </si>
  <si>
    <t>2.0-2.1</t>
  </si>
  <si>
    <t>2А.1</t>
  </si>
  <si>
    <t>3.0-3.1</t>
  </si>
  <si>
    <t>замок Magnet чорн.</t>
  </si>
  <si>
    <t>Сатин</t>
  </si>
  <si>
    <t>Колір</t>
  </si>
  <si>
    <t>6А.1-6А.0</t>
  </si>
  <si>
    <t>2.0 - 2.1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</si>
</sst>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#,##0.0"/>
    <numFmt numFmtId="167" formatCode="#,##0\ [$грн.-422]"/>
  </numFmts>
  <fonts count="55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8"/>
      <color indexed="9"/>
      <name val="Arial Cyr"/>
      <charset val="204"/>
    </font>
    <font>
      <sz val="10"/>
      <color indexed="9"/>
      <name val="Arial Cyr"/>
      <charset val="204"/>
    </font>
    <font>
      <sz val="8"/>
      <color indexed="22"/>
      <name val="Arial Cyr"/>
      <charset val="204"/>
    </font>
    <font>
      <b/>
      <sz val="10"/>
      <color indexed="17"/>
      <name val="Arial"/>
      <family val="2"/>
      <charset val="204"/>
    </font>
    <font>
      <sz val="8"/>
      <name val="Arial"/>
      <family val="2"/>
      <charset val="204"/>
    </font>
    <font>
      <b/>
      <sz val="10"/>
      <color indexed="17"/>
      <name val="Times New Roman"/>
      <family val="1"/>
      <charset val="204"/>
    </font>
    <font>
      <b/>
      <i/>
      <sz val="10"/>
      <name val="Arial Cyr"/>
      <charset val="204"/>
    </font>
    <font>
      <i/>
      <sz val="8"/>
      <name val="Arial Cyr"/>
      <charset val="204"/>
    </font>
    <font>
      <u/>
      <sz val="8.5"/>
      <color indexed="12"/>
      <name val="Arial Cyr"/>
      <charset val="204"/>
    </font>
    <font>
      <sz val="10"/>
      <name val="Door_Gordana"/>
      <charset val="204"/>
    </font>
    <font>
      <b/>
      <sz val="10"/>
      <name val="Door_Gordana"/>
      <charset val="204"/>
    </font>
    <font>
      <sz val="10"/>
      <name val="Times New Roman"/>
      <family val="1"/>
      <charset val="204"/>
    </font>
    <font>
      <b/>
      <u/>
      <sz val="10"/>
      <color indexed="12"/>
      <name val="Arial Cyr"/>
      <charset val="204"/>
    </font>
    <font>
      <b/>
      <sz val="9"/>
      <color indexed="17"/>
      <name val="Times New Roman"/>
      <family val="1"/>
      <charset val="204"/>
    </font>
    <font>
      <b/>
      <i/>
      <sz val="8"/>
      <color indexed="12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b/>
      <sz val="8"/>
      <name val="Arial Cyr"/>
      <charset val="204"/>
    </font>
    <font>
      <b/>
      <sz val="8"/>
      <color indexed="1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8"/>
      <color indexed="10"/>
      <name val="Arial"/>
      <family val="2"/>
      <charset val="204"/>
    </font>
    <font>
      <b/>
      <sz val="8"/>
      <color indexed="12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color indexed="9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color indexed="23"/>
      <name val="Arial Cyr"/>
      <charset val="204"/>
    </font>
    <font>
      <b/>
      <i/>
      <sz val="8"/>
      <color indexed="23"/>
      <name val="Arial Cyr"/>
      <charset val="204"/>
    </font>
    <font>
      <sz val="10"/>
      <color indexed="23"/>
      <name val="Arial Cyr"/>
      <charset val="204"/>
    </font>
    <font>
      <b/>
      <sz val="10"/>
      <color indexed="23"/>
      <name val="Arial Cyr"/>
      <charset val="204"/>
    </font>
    <font>
      <b/>
      <sz val="10"/>
      <color indexed="10"/>
      <name val="Times New Roman"/>
      <family val="1"/>
      <charset val="204"/>
    </font>
    <font>
      <sz val="8"/>
      <color indexed="2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0"/>
      <color indexed="10"/>
      <name val="Arial Cyr"/>
      <charset val="204"/>
    </font>
    <font>
      <sz val="10"/>
      <color indexed="10"/>
      <name val="Arial"/>
      <family val="2"/>
      <charset val="204"/>
    </font>
    <font>
      <b/>
      <sz val="6"/>
      <name val="Times New Roman"/>
      <family val="1"/>
      <charset val="204"/>
    </font>
    <font>
      <b/>
      <sz val="10"/>
      <color indexed="10"/>
      <name val="Arial Cyr"/>
      <charset val="204"/>
    </font>
    <font>
      <b/>
      <sz val="10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8"/>
      <color rgb="FFFF0000"/>
      <name val="Arial"/>
      <family val="2"/>
      <charset val="204"/>
    </font>
    <font>
      <sz val="10"/>
      <color rgb="FFFF0000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19">
    <xf numFmtId="0" fontId="0" fillId="0" borderId="0" xfId="0"/>
    <xf numFmtId="0" fontId="0" fillId="0" borderId="0" xfId="0" applyProtection="1">
      <protection hidden="1"/>
    </xf>
    <xf numFmtId="9" fontId="10" fillId="0" borderId="0" xfId="0" applyNumberFormat="1" applyFont="1" applyProtection="1">
      <protection hidden="1"/>
    </xf>
    <xf numFmtId="0" fontId="10" fillId="2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8" fillId="0" borderId="0" xfId="0" applyFont="1" applyAlignment="1" applyProtection="1"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3" borderId="2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2" fillId="0" borderId="3" xfId="0" applyFont="1" applyFill="1" applyBorder="1" applyAlignment="1" applyProtection="1">
      <alignment horizontal="center" wrapText="1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left" vertical="center" indent="2"/>
      <protection hidden="1"/>
    </xf>
    <xf numFmtId="0" fontId="4" fillId="0" borderId="5" xfId="0" applyFont="1" applyBorder="1" applyAlignment="1" applyProtection="1">
      <alignment horizontal="right" vertical="center"/>
      <protection hidden="1"/>
    </xf>
    <xf numFmtId="3" fontId="6" fillId="0" borderId="4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left" vertical="center" indent="2"/>
      <protection hidden="1"/>
    </xf>
    <xf numFmtId="0" fontId="4" fillId="0" borderId="7" xfId="0" applyFont="1" applyBorder="1" applyAlignment="1" applyProtection="1">
      <alignment horizontal="right" vertical="center"/>
      <protection hidden="1"/>
    </xf>
    <xf numFmtId="3" fontId="6" fillId="0" borderId="6" xfId="0" applyNumberFormat="1" applyFont="1" applyBorder="1" applyAlignment="1" applyProtection="1">
      <alignment horizontal="center" vertical="center" wrapText="1"/>
      <protection hidden="1"/>
    </xf>
    <xf numFmtId="2" fontId="11" fillId="0" borderId="0" xfId="0" applyNumberFormat="1" applyFont="1" applyAlignment="1" applyProtection="1">
      <alignment horizontal="center" vertical="center"/>
      <protection hidden="1"/>
    </xf>
    <xf numFmtId="4" fontId="0" fillId="0" borderId="0" xfId="0" applyNumberFormat="1" applyProtection="1">
      <protection hidden="1"/>
    </xf>
    <xf numFmtId="4" fontId="5" fillId="0" borderId="0" xfId="0" applyNumberFormat="1" applyFont="1" applyFill="1" applyProtection="1">
      <protection hidden="1"/>
    </xf>
    <xf numFmtId="3" fontId="0" fillId="0" borderId="0" xfId="0" applyNumberFormat="1" applyProtection="1">
      <protection hidden="1"/>
    </xf>
    <xf numFmtId="0" fontId="6" fillId="0" borderId="8" xfId="0" applyFont="1" applyBorder="1" applyAlignment="1" applyProtection="1">
      <alignment horizontal="left" vertical="center" indent="2"/>
      <protection hidden="1"/>
    </xf>
    <xf numFmtId="0" fontId="4" fillId="0" borderId="9" xfId="0" applyFont="1" applyBorder="1" applyAlignment="1" applyProtection="1">
      <alignment horizontal="right" vertical="center"/>
      <protection hidden="1"/>
    </xf>
    <xf numFmtId="3" fontId="6" fillId="0" borderId="8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3" fontId="0" fillId="0" borderId="0" xfId="0" applyNumberFormat="1" applyFill="1" applyProtection="1">
      <protection hidden="1"/>
    </xf>
    <xf numFmtId="3" fontId="11" fillId="0" borderId="0" xfId="0" applyNumberFormat="1" applyFont="1" applyAlignment="1" applyProtection="1">
      <alignment horizontal="center" vertical="center"/>
      <protection hidden="1"/>
    </xf>
    <xf numFmtId="3" fontId="8" fillId="0" borderId="0" xfId="0" applyNumberFormat="1" applyFont="1" applyProtection="1">
      <protection hidden="1"/>
    </xf>
    <xf numFmtId="0" fontId="8" fillId="0" borderId="0" xfId="0" applyFont="1" applyFill="1" applyProtection="1">
      <protection hidden="1"/>
    </xf>
    <xf numFmtId="4" fontId="11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Protection="1">
      <protection hidden="1"/>
    </xf>
    <xf numFmtId="0" fontId="6" fillId="0" borderId="1" xfId="0" applyFont="1" applyBorder="1" applyAlignment="1" applyProtection="1">
      <alignment horizontal="left" vertical="center" indent="2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3" fontId="8" fillId="0" borderId="0" xfId="0" applyNumberFormat="1" applyFont="1" applyFill="1" applyBorder="1" applyProtection="1">
      <protection hidden="1"/>
    </xf>
    <xf numFmtId="3" fontId="6" fillId="0" borderId="10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Fill="1" applyBorder="1" applyProtection="1">
      <protection hidden="1"/>
    </xf>
    <xf numFmtId="4" fontId="8" fillId="0" borderId="0" xfId="0" applyNumberFormat="1" applyFont="1" applyAlignment="1" applyProtection="1">
      <alignment horizontal="center"/>
      <protection hidden="1"/>
    </xf>
    <xf numFmtId="4" fontId="1" fillId="0" borderId="0" xfId="0" applyNumberFormat="1" applyFont="1" applyAlignment="1" applyProtection="1">
      <alignment horizontal="center"/>
      <protection hidden="1"/>
    </xf>
    <xf numFmtId="4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protection hidden="1"/>
    </xf>
    <xf numFmtId="0" fontId="6" fillId="4" borderId="1" xfId="0" applyFont="1" applyFill="1" applyBorder="1" applyAlignment="1" applyProtection="1">
      <alignment horizontal="left" vertical="center" wrapText="1" indent="2"/>
      <protection hidden="1"/>
    </xf>
    <xf numFmtId="0" fontId="6" fillId="0" borderId="12" xfId="0" applyFont="1" applyFill="1" applyBorder="1" applyAlignment="1" applyProtection="1">
      <alignment vertical="center" wrapText="1"/>
      <protection hidden="1"/>
    </xf>
    <xf numFmtId="0" fontId="4" fillId="0" borderId="13" xfId="0" applyFont="1" applyBorder="1" applyAlignment="1" applyProtection="1">
      <alignment horizontal="left" vertical="center" wrapText="1" indent="1"/>
      <protection hidden="1"/>
    </xf>
    <xf numFmtId="4" fontId="2" fillId="3" borderId="14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12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left" vertical="center" wrapText="1" indent="1"/>
      <protection hidden="1"/>
    </xf>
    <xf numFmtId="166" fontId="6" fillId="0" borderId="8" xfId="0" applyNumberFormat="1" applyFont="1" applyBorder="1" applyAlignment="1" applyProtection="1">
      <alignment horizontal="center" vertical="center" wrapText="1"/>
      <protection hidden="1"/>
    </xf>
    <xf numFmtId="4" fontId="2" fillId="3" borderId="15" xfId="0" applyNumberFormat="1" applyFont="1" applyFill="1" applyBorder="1" applyAlignment="1" applyProtection="1">
      <alignment horizontal="center" vertical="center" wrapText="1"/>
      <protection hidden="1"/>
    </xf>
    <xf numFmtId="9" fontId="8" fillId="3" borderId="11" xfId="0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>
      <protection hidden="1"/>
    </xf>
    <xf numFmtId="9" fontId="12" fillId="0" borderId="0" xfId="2" applyFont="1" applyProtection="1">
      <protection hidden="1"/>
    </xf>
    <xf numFmtId="0" fontId="17" fillId="0" borderId="16" xfId="1" applyBorder="1" applyAlignment="1" applyProtection="1">
      <alignment horizontal="left" indent="1"/>
      <protection hidden="1"/>
    </xf>
    <xf numFmtId="0" fontId="13" fillId="0" borderId="16" xfId="0" applyFont="1" applyBorder="1" applyAlignment="1" applyProtection="1">
      <alignment horizontal="right"/>
      <protection hidden="1"/>
    </xf>
    <xf numFmtId="167" fontId="13" fillId="0" borderId="16" xfId="0" applyNumberFormat="1" applyFont="1" applyBorder="1" applyAlignment="1" applyProtection="1">
      <alignment horizontal="left"/>
      <protection hidden="1"/>
    </xf>
    <xf numFmtId="0" fontId="17" fillId="0" borderId="17" xfId="1" applyBorder="1" applyAlignment="1" applyProtection="1">
      <alignment horizontal="left" indent="1"/>
      <protection hidden="1"/>
    </xf>
    <xf numFmtId="0" fontId="13" fillId="0" borderId="17" xfId="0" applyFont="1" applyBorder="1" applyAlignment="1" applyProtection="1">
      <alignment horizontal="right"/>
      <protection hidden="1"/>
    </xf>
    <xf numFmtId="167" fontId="13" fillId="0" borderId="17" xfId="0" applyNumberFormat="1" applyFont="1" applyBorder="1" applyAlignment="1" applyProtection="1">
      <alignment horizontal="left"/>
      <protection hidden="1"/>
    </xf>
    <xf numFmtId="0" fontId="13" fillId="0" borderId="0" xfId="0" applyFont="1" applyAlignment="1" applyProtection="1">
      <alignment horizontal="left" indent="2"/>
      <protection hidden="1"/>
    </xf>
    <xf numFmtId="0" fontId="13" fillId="0" borderId="0" xfId="0" applyFont="1" applyAlignment="1" applyProtection="1">
      <alignment horizontal="left" indent="1"/>
      <protection hidden="1"/>
    </xf>
    <xf numFmtId="2" fontId="24" fillId="0" borderId="0" xfId="0" applyNumberFormat="1" applyFont="1" applyProtection="1">
      <protection hidden="1"/>
    </xf>
    <xf numFmtId="4" fontId="0" fillId="0" borderId="0" xfId="0" applyNumberFormat="1" applyAlignment="1" applyProtection="1">
      <protection hidden="1"/>
    </xf>
    <xf numFmtId="4" fontId="0" fillId="0" borderId="0" xfId="0" applyNumberFormat="1" applyFill="1" applyProtection="1">
      <protection hidden="1"/>
    </xf>
    <xf numFmtId="4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8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Fill="1" applyBorder="1" applyAlignment="1" applyProtection="1">
      <alignment horizontal="center" wrapText="1"/>
      <protection hidden="1"/>
    </xf>
    <xf numFmtId="0" fontId="17" fillId="0" borderId="16" xfId="1" applyFont="1" applyBorder="1" applyAlignment="1" applyProtection="1">
      <alignment horizontal="left" indent="1"/>
      <protection hidden="1"/>
    </xf>
    <xf numFmtId="0" fontId="5" fillId="0" borderId="0" xfId="0" applyFont="1" applyProtection="1">
      <protection hidden="1"/>
    </xf>
    <xf numFmtId="14" fontId="26" fillId="0" borderId="0" xfId="0" applyNumberFormat="1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protection hidden="1"/>
    </xf>
    <xf numFmtId="4" fontId="2" fillId="3" borderId="5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7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right"/>
      <protection hidden="1"/>
    </xf>
    <xf numFmtId="3" fontId="6" fillId="0" borderId="0" xfId="0" applyNumberFormat="1" applyFont="1" applyBorder="1" applyAlignment="1" applyProtection="1">
      <alignment horizontal="center" vertical="center" wrapText="1"/>
      <protection hidden="1"/>
    </xf>
    <xf numFmtId="4" fontId="2" fillId="0" borderId="0" xfId="0" applyNumberFormat="1" applyFont="1" applyFill="1" applyBorder="1" applyAlignment="1" applyProtection="1">
      <alignment horizontal="left" vertical="center" wrapText="1" indent="1"/>
      <protection hidden="1"/>
    </xf>
    <xf numFmtId="0" fontId="4" fillId="0" borderId="14" xfId="0" applyFont="1" applyBorder="1" applyAlignment="1" applyProtection="1">
      <alignment horizontal="left" vertical="center" wrapText="1" indent="1"/>
      <protection hidden="1"/>
    </xf>
    <xf numFmtId="0" fontId="15" fillId="0" borderId="0" xfId="0" applyFont="1" applyBorder="1" applyProtection="1"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3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 applyProtection="1">
      <alignment horizontal="left" vertical="center" wrapText="1"/>
      <protection hidden="1"/>
    </xf>
    <xf numFmtId="0" fontId="6" fillId="0" borderId="20" xfId="0" applyFont="1" applyBorder="1" applyAlignment="1" applyProtection="1">
      <alignment horizontal="left" vertical="center" indent="2"/>
      <protection hidden="1"/>
    </xf>
    <xf numFmtId="0" fontId="6" fillId="0" borderId="9" xfId="0" applyFont="1" applyBorder="1" applyAlignment="1" applyProtection="1">
      <alignment horizontal="left" vertical="center" indent="2"/>
      <protection hidden="1"/>
    </xf>
    <xf numFmtId="166" fontId="6" fillId="0" borderId="6" xfId="0" applyNumberFormat="1" applyFont="1" applyBorder="1" applyAlignment="1" applyProtection="1">
      <alignment horizontal="center" vertical="center" wrapText="1"/>
      <protection hidden="1"/>
    </xf>
    <xf numFmtId="0" fontId="29" fillId="0" borderId="17" xfId="0" applyFont="1" applyBorder="1" applyAlignment="1" applyProtection="1">
      <alignment horizontal="left"/>
      <protection hidden="1"/>
    </xf>
    <xf numFmtId="0" fontId="29" fillId="0" borderId="16" xfId="0" applyFont="1" applyBorder="1" applyAlignment="1" applyProtection="1">
      <alignment horizontal="left"/>
      <protection hidden="1"/>
    </xf>
    <xf numFmtId="0" fontId="29" fillId="0" borderId="0" xfId="0" applyFont="1" applyAlignment="1" applyProtection="1">
      <alignment horizontal="right"/>
      <protection hidden="1"/>
    </xf>
    <xf numFmtId="0" fontId="30" fillId="0" borderId="0" xfId="0" applyFont="1" applyBorder="1" applyAlignment="1" applyProtection="1">
      <alignment vertical="top" wrapText="1"/>
      <protection hidden="1"/>
    </xf>
    <xf numFmtId="0" fontId="6" fillId="0" borderId="21" xfId="0" applyFont="1" applyBorder="1" applyAlignment="1" applyProtection="1">
      <alignment horizontal="left" vertical="center" indent="2"/>
      <protection hidden="1"/>
    </xf>
    <xf numFmtId="0" fontId="23" fillId="0" borderId="0" xfId="1" applyFont="1" applyAlignment="1" applyProtection="1">
      <alignment horizontal="right"/>
      <protection hidden="1"/>
    </xf>
    <xf numFmtId="0" fontId="23" fillId="0" borderId="0" xfId="1" applyFont="1" applyFill="1" applyAlignment="1" applyProtection="1">
      <alignment horizontal="right"/>
      <protection hidden="1"/>
    </xf>
    <xf numFmtId="0" fontId="14" fillId="0" borderId="0" xfId="0" applyFont="1" applyFill="1" applyBorder="1" applyAlignment="1" applyProtection="1">
      <alignment horizontal="left" wrapText="1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28" fillId="0" borderId="3" xfId="0" applyFont="1" applyFill="1" applyBorder="1" applyAlignment="1" applyProtection="1">
      <alignment horizontal="center"/>
      <protection hidden="1"/>
    </xf>
    <xf numFmtId="0" fontId="0" fillId="5" borderId="3" xfId="0" applyFill="1" applyBorder="1" applyProtection="1">
      <protection hidden="1"/>
    </xf>
    <xf numFmtId="0" fontId="6" fillId="4" borderId="5" xfId="0" applyFont="1" applyFill="1" applyBorder="1" applyAlignment="1" applyProtection="1">
      <alignment horizontal="right" vertical="center" wrapText="1"/>
      <protection hidden="1"/>
    </xf>
    <xf numFmtId="0" fontId="6" fillId="4" borderId="7" xfId="0" applyFont="1" applyFill="1" applyBorder="1" applyAlignment="1" applyProtection="1">
      <alignment horizontal="right" vertical="center" wrapText="1"/>
      <protection hidden="1"/>
    </xf>
    <xf numFmtId="0" fontId="6" fillId="4" borderId="9" xfId="0" applyFont="1" applyFill="1" applyBorder="1" applyAlignment="1" applyProtection="1">
      <alignment horizontal="right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22" xfId="0" applyFont="1" applyFill="1" applyBorder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3" fontId="6" fillId="0" borderId="5" xfId="0" applyNumberFormat="1" applyFont="1" applyBorder="1" applyAlignment="1" applyProtection="1">
      <alignment horizontal="center" vertical="center" wrapText="1"/>
      <protection hidden="1"/>
    </xf>
    <xf numFmtId="3" fontId="6" fillId="0" borderId="7" xfId="0" applyNumberFormat="1" applyFont="1" applyBorder="1" applyAlignment="1" applyProtection="1">
      <alignment horizontal="center" vertical="center" wrapText="1"/>
      <protection hidden="1"/>
    </xf>
    <xf numFmtId="3" fontId="6" fillId="0" borderId="9" xfId="0" applyNumberFormat="1" applyFont="1" applyBorder="1" applyAlignment="1" applyProtection="1">
      <alignment horizontal="center" vertical="center" wrapText="1"/>
      <protection hidden="1"/>
    </xf>
    <xf numFmtId="166" fontId="6" fillId="0" borderId="7" xfId="0" applyNumberFormat="1" applyFont="1" applyBorder="1" applyAlignment="1" applyProtection="1">
      <alignment horizontal="center" vertical="center" wrapText="1"/>
      <protection hidden="1"/>
    </xf>
    <xf numFmtId="4" fontId="32" fillId="3" borderId="13" xfId="1" applyNumberFormat="1" applyFont="1" applyFill="1" applyBorder="1" applyAlignment="1" applyProtection="1">
      <alignment horizontal="left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2" fontId="5" fillId="0" borderId="0" xfId="0" applyNumberFormat="1" applyFont="1" applyFill="1" applyBorder="1" applyAlignment="1" applyProtection="1">
      <alignment horizontal="center" vertical="center"/>
      <protection hidden="1"/>
    </xf>
    <xf numFmtId="4" fontId="0" fillId="0" borderId="0" xfId="0" applyNumberFormat="1" applyFill="1" applyBorder="1" applyProtection="1">
      <protection hidden="1"/>
    </xf>
    <xf numFmtId="0" fontId="23" fillId="0" borderId="0" xfId="1" applyFont="1" applyBorder="1" applyAlignment="1" applyProtection="1">
      <alignment horizontal="right"/>
      <protection hidden="1"/>
    </xf>
    <xf numFmtId="0" fontId="20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9" fontId="22" fillId="0" borderId="0" xfId="0" applyNumberFormat="1" applyFont="1" applyFill="1" applyBorder="1" applyAlignment="1" applyProtection="1">
      <alignment horizontal="left" wrapText="1"/>
      <protection hidden="1"/>
    </xf>
    <xf numFmtId="9" fontId="14" fillId="0" borderId="0" xfId="0" applyNumberFormat="1" applyFont="1" applyFill="1" applyBorder="1" applyAlignment="1" applyProtection="1">
      <alignment horizontal="left" wrapText="1"/>
      <protection hidden="1"/>
    </xf>
    <xf numFmtId="0" fontId="23" fillId="0" borderId="0" xfId="1" applyFont="1" applyFill="1" applyBorder="1" applyAlignment="1" applyProtection="1">
      <protection hidden="1"/>
    </xf>
    <xf numFmtId="0" fontId="6" fillId="0" borderId="11" xfId="0" applyFont="1" applyBorder="1" applyAlignment="1" applyProtection="1">
      <alignment horizontal="left" vertical="center" indent="2"/>
      <protection hidden="1"/>
    </xf>
    <xf numFmtId="0" fontId="28" fillId="0" borderId="0" xfId="0" applyFont="1" applyFill="1" applyBorder="1" applyAlignment="1" applyProtection="1">
      <alignment horizontal="center"/>
      <protection hidden="1"/>
    </xf>
    <xf numFmtId="0" fontId="23" fillId="0" borderId="0" xfId="1" applyFont="1" applyFill="1" applyBorder="1" applyAlignment="1" applyProtection="1">
      <alignment horizontal="right"/>
      <protection hidden="1"/>
    </xf>
    <xf numFmtId="3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7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7" fillId="0" borderId="0" xfId="0" applyNumberFormat="1" applyFont="1" applyFill="1" applyBorder="1" applyAlignment="1" applyProtection="1">
      <alignment horizontal="left" vertical="center" wrapText="1"/>
      <protection hidden="1"/>
    </xf>
    <xf numFmtId="0" fontId="6" fillId="4" borderId="14" xfId="0" applyFont="1" applyFill="1" applyBorder="1" applyAlignment="1" applyProtection="1">
      <alignment horizontal="right" vertical="center" wrapText="1"/>
      <protection hidden="1"/>
    </xf>
    <xf numFmtId="0" fontId="6" fillId="4" borderId="13" xfId="0" applyFont="1" applyFill="1" applyBorder="1" applyAlignment="1" applyProtection="1">
      <alignment horizontal="right" vertical="center" wrapText="1"/>
      <protection hidden="1"/>
    </xf>
    <xf numFmtId="0" fontId="6" fillId="4" borderId="15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2" fillId="4" borderId="21" xfId="0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right" vertical="center"/>
      <protection hidden="1"/>
    </xf>
    <xf numFmtId="0" fontId="4" fillId="0" borderId="13" xfId="0" applyFont="1" applyBorder="1" applyAlignment="1" applyProtection="1">
      <alignment horizontal="right" vertical="center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0" fontId="6" fillId="4" borderId="27" xfId="0" applyFont="1" applyFill="1" applyBorder="1" applyAlignment="1" applyProtection="1">
      <alignment horizontal="right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2" fillId="4" borderId="28" xfId="0" applyFont="1" applyFill="1" applyBorder="1" applyAlignment="1" applyProtection="1">
      <alignment horizontal="center" vertical="center" wrapText="1"/>
      <protection hidden="1"/>
    </xf>
    <xf numFmtId="0" fontId="20" fillId="5" borderId="29" xfId="0" applyFont="1" applyFill="1" applyBorder="1" applyProtection="1">
      <protection hidden="1"/>
    </xf>
    <xf numFmtId="0" fontId="4" fillId="0" borderId="30" xfId="0" applyFont="1" applyBorder="1" applyAlignment="1" applyProtection="1">
      <alignment horizontal="right" vertical="center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right"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indent="2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3" fontId="2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6" xfId="1" applyBorder="1" applyAlignment="1" applyProtection="1">
      <alignment horizontal="left" indent="1"/>
    </xf>
    <xf numFmtId="4" fontId="2" fillId="0" borderId="5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14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7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13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9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15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1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0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2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17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3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7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11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2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9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0" xfId="0" applyNumberFormat="1" applyFont="1" applyFill="1" applyBorder="1" applyAlignment="1" applyProtection="1">
      <alignment horizontal="right" vertical="center" wrapText="1" indent="1"/>
      <protection hidden="1"/>
    </xf>
    <xf numFmtId="3" fontId="2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right"/>
      <protection hidden="1"/>
    </xf>
    <xf numFmtId="0" fontId="35" fillId="0" borderId="0" xfId="0" applyFont="1" applyProtection="1">
      <protection hidden="1"/>
    </xf>
    <xf numFmtId="9" fontId="13" fillId="0" borderId="0" xfId="0" applyNumberFormat="1" applyFont="1" applyProtection="1">
      <protection hidden="1"/>
    </xf>
    <xf numFmtId="0" fontId="36" fillId="6" borderId="3" xfId="0" applyFont="1" applyFill="1" applyBorder="1" applyAlignment="1" applyProtection="1">
      <alignment horizontal="center"/>
      <protection locked="0" hidden="1"/>
    </xf>
    <xf numFmtId="2" fontId="38" fillId="0" borderId="0" xfId="0" applyNumberFormat="1" applyFont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5" fontId="1" fillId="0" borderId="16" xfId="0" applyNumberFormat="1" applyFont="1" applyFill="1" applyBorder="1" applyAlignment="1" applyProtection="1">
      <alignment horizontal="center"/>
      <protection locked="0" hidden="1"/>
    </xf>
    <xf numFmtId="0" fontId="39" fillId="0" borderId="0" xfId="0" applyFont="1" applyAlignment="1" applyProtection="1">
      <alignment horizontal="right"/>
      <protection hidden="1"/>
    </xf>
    <xf numFmtId="0" fontId="39" fillId="0" borderId="0" xfId="0" applyFont="1" applyProtection="1">
      <protection hidden="1"/>
    </xf>
    <xf numFmtId="9" fontId="40" fillId="0" borderId="19" xfId="0" applyNumberFormat="1" applyFont="1" applyFill="1" applyBorder="1" applyAlignment="1" applyProtection="1">
      <alignment horizontal="center"/>
      <protection locked="0" hidden="1"/>
    </xf>
    <xf numFmtId="0" fontId="15" fillId="7" borderId="0" xfId="0" applyFont="1" applyFill="1" applyBorder="1" applyProtection="1">
      <protection hidden="1"/>
    </xf>
    <xf numFmtId="0" fontId="8" fillId="7" borderId="0" xfId="0" applyFont="1" applyFill="1" applyBorder="1" applyAlignment="1" applyProtection="1">
      <alignment horizontal="center"/>
      <protection hidden="1"/>
    </xf>
    <xf numFmtId="4" fontId="8" fillId="7" borderId="0" xfId="0" applyNumberFormat="1" applyFont="1" applyFill="1" applyBorder="1" applyAlignment="1" applyProtection="1">
      <alignment horizontal="center"/>
      <protection hidden="1"/>
    </xf>
    <xf numFmtId="0" fontId="41" fillId="0" borderId="0" xfId="0" applyFont="1" applyAlignment="1" applyProtection="1">
      <alignment horizontal="right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protection hidden="1"/>
    </xf>
    <xf numFmtId="3" fontId="20" fillId="0" borderId="0" xfId="0" applyNumberFormat="1" applyFont="1" applyAlignment="1" applyProtection="1">
      <protection hidden="1"/>
    </xf>
    <xf numFmtId="3" fontId="20" fillId="0" borderId="0" xfId="0" applyNumberFormat="1" applyFont="1" applyFill="1" applyBorder="1" applyProtection="1">
      <protection hidden="1"/>
    </xf>
    <xf numFmtId="4" fontId="20" fillId="0" borderId="0" xfId="0" applyNumberFormat="1" applyFont="1" applyFill="1" applyBorder="1" applyProtection="1">
      <protection hidden="1"/>
    </xf>
    <xf numFmtId="3" fontId="6" fillId="0" borderId="0" xfId="0" applyNumberFormat="1" applyFont="1" applyFill="1" applyProtection="1">
      <protection hidden="1"/>
    </xf>
    <xf numFmtId="3" fontId="20" fillId="0" borderId="0" xfId="0" applyNumberFormat="1" applyFont="1" applyProtection="1">
      <protection hidden="1"/>
    </xf>
    <xf numFmtId="3" fontId="42" fillId="0" borderId="0" xfId="0" applyNumberFormat="1" applyFont="1" applyAlignment="1" applyProtection="1">
      <alignment horizontal="center" vertical="center"/>
      <protection hidden="1"/>
    </xf>
    <xf numFmtId="0" fontId="43" fillId="0" borderId="0" xfId="0" applyFont="1" applyProtection="1">
      <protection hidden="1"/>
    </xf>
    <xf numFmtId="0" fontId="6" fillId="0" borderId="16" xfId="0" applyFont="1" applyBorder="1" applyAlignment="1" applyProtection="1">
      <protection hidden="1"/>
    </xf>
    <xf numFmtId="0" fontId="3" fillId="0" borderId="0" xfId="0" applyFont="1" applyFill="1" applyProtection="1">
      <protection hidden="1"/>
    </xf>
    <xf numFmtId="4" fontId="42" fillId="0" borderId="0" xfId="0" applyNumberFormat="1" applyFont="1" applyAlignment="1" applyProtection="1">
      <alignment horizontal="center" vertical="center"/>
      <protection hidden="1"/>
    </xf>
    <xf numFmtId="0" fontId="20" fillId="0" borderId="17" xfId="0" applyFont="1" applyBorder="1" applyProtection="1">
      <protection hidden="1"/>
    </xf>
    <xf numFmtId="0" fontId="3" fillId="0" borderId="0" xfId="0" applyFont="1" applyProtection="1">
      <protection hidden="1"/>
    </xf>
    <xf numFmtId="0" fontId="6" fillId="0" borderId="27" xfId="0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20" fillId="0" borderId="0" xfId="0" applyFont="1" applyAlignment="1" applyProtection="1">
      <alignment horizontal="right"/>
      <protection hidden="1"/>
    </xf>
    <xf numFmtId="0" fontId="20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protection hidden="1"/>
    </xf>
    <xf numFmtId="0" fontId="6" fillId="0" borderId="16" xfId="0" applyFont="1" applyBorder="1" applyAlignment="1" applyProtection="1">
      <alignment horizontal="right" indent="1"/>
      <protection hidden="1"/>
    </xf>
    <xf numFmtId="9" fontId="6" fillId="0" borderId="16" xfId="0" applyNumberFormat="1" applyFont="1" applyBorder="1" applyAlignment="1" applyProtection="1">
      <alignment horizontal="left"/>
      <protection hidden="1"/>
    </xf>
    <xf numFmtId="0" fontId="6" fillId="0" borderId="17" xfId="0" applyFont="1" applyBorder="1" applyAlignment="1" applyProtection="1">
      <alignment horizontal="right" indent="1"/>
      <protection hidden="1"/>
    </xf>
    <xf numFmtId="165" fontId="6" fillId="0" borderId="17" xfId="0" applyNumberFormat="1" applyFont="1" applyBorder="1" applyAlignment="1" applyProtection="1">
      <alignment horizontal="left"/>
      <protection hidden="1"/>
    </xf>
    <xf numFmtId="0" fontId="20" fillId="0" borderId="17" xfId="0" applyFont="1" applyBorder="1" applyAlignment="1" applyProtection="1">
      <alignment horizontal="right" indent="1"/>
      <protection hidden="1"/>
    </xf>
    <xf numFmtId="9" fontId="6" fillId="0" borderId="17" xfId="0" applyNumberFormat="1" applyFont="1" applyBorder="1" applyAlignment="1" applyProtection="1">
      <alignment horizontal="left"/>
      <protection hidden="1"/>
    </xf>
    <xf numFmtId="0" fontId="20" fillId="0" borderId="16" xfId="0" applyFont="1" applyBorder="1" applyProtection="1">
      <protection hidden="1"/>
    </xf>
    <xf numFmtId="0" fontId="6" fillId="0" borderId="5" xfId="0" applyFont="1" applyBorder="1" applyAlignment="1" applyProtection="1">
      <alignment horizontal="left" vertical="center" indent="2"/>
      <protection hidden="1"/>
    </xf>
    <xf numFmtId="0" fontId="8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4" fontId="32" fillId="3" borderId="15" xfId="1" applyNumberFormat="1" applyFont="1" applyFill="1" applyBorder="1" applyAlignment="1" applyProtection="1">
      <alignment horizontal="left" vertical="center" wrapText="1"/>
      <protection hidden="1"/>
    </xf>
    <xf numFmtId="4" fontId="8" fillId="0" borderId="0" xfId="0" applyNumberFormat="1" applyFont="1" applyAlignment="1" applyProtection="1">
      <alignment horizontal="right"/>
      <protection hidden="1"/>
    </xf>
    <xf numFmtId="2" fontId="8" fillId="0" borderId="0" xfId="0" applyNumberFormat="1" applyFont="1" applyAlignment="1" applyProtection="1">
      <alignment horizontal="right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2" fontId="5" fillId="0" borderId="0" xfId="0" applyNumberFormat="1" applyFont="1" applyAlignment="1" applyProtection="1">
      <alignment horizontal="right"/>
      <protection hidden="1"/>
    </xf>
    <xf numFmtId="4" fontId="0" fillId="0" borderId="0" xfId="0" applyNumberFormat="1" applyAlignment="1" applyProtection="1">
      <alignment horizontal="right"/>
      <protection hidden="1"/>
    </xf>
    <xf numFmtId="2" fontId="5" fillId="0" borderId="0" xfId="0" applyNumberFormat="1" applyFont="1" applyAlignment="1" applyProtection="1">
      <protection hidden="1"/>
    </xf>
    <xf numFmtId="2" fontId="5" fillId="0" borderId="0" xfId="0" applyNumberFormat="1" applyFont="1" applyFill="1" applyBorder="1" applyProtection="1">
      <protection hidden="1"/>
    </xf>
    <xf numFmtId="0" fontId="6" fillId="4" borderId="33" xfId="0" applyFont="1" applyFill="1" applyBorder="1" applyAlignment="1" applyProtection="1">
      <alignment horizontal="center" vertical="center" wrapText="1"/>
      <protection hidden="1"/>
    </xf>
    <xf numFmtId="4" fontId="2" fillId="0" borderId="34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5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6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7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3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8" xfId="0" applyNumberFormat="1" applyFont="1" applyFill="1" applyBorder="1" applyAlignment="1" applyProtection="1">
      <alignment horizontal="right" vertical="center" wrapText="1" indent="1"/>
      <protection hidden="1"/>
    </xf>
    <xf numFmtId="0" fontId="6" fillId="4" borderId="39" xfId="0" applyFont="1" applyFill="1" applyBorder="1" applyAlignment="1" applyProtection="1">
      <alignment horizontal="center" vertical="center" wrapText="1"/>
      <protection hidden="1"/>
    </xf>
    <xf numFmtId="0" fontId="6" fillId="4" borderId="38" xfId="0" applyFont="1" applyFill="1" applyBorder="1" applyAlignment="1" applyProtection="1">
      <alignment horizontal="center" vertical="center" wrapText="1"/>
      <protection hidden="1"/>
    </xf>
    <xf numFmtId="4" fontId="2" fillId="0" borderId="40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41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9" xfId="0" applyNumberFormat="1" applyFont="1" applyFill="1" applyBorder="1" applyAlignment="1" applyProtection="1">
      <alignment horizontal="right" vertical="center" wrapText="1" indent="1"/>
      <protection hidden="1"/>
    </xf>
    <xf numFmtId="4" fontId="2" fillId="3" borderId="42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43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44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22" xfId="0" applyNumberFormat="1" applyFont="1" applyBorder="1" applyAlignment="1" applyProtection="1">
      <alignment horizontal="center" vertical="center" wrapText="1"/>
      <protection hidden="1"/>
    </xf>
    <xf numFmtId="3" fontId="6" fillId="0" borderId="17" xfId="0" applyNumberFormat="1" applyFont="1" applyBorder="1" applyAlignment="1" applyProtection="1">
      <alignment horizontal="center" vertical="center" wrapText="1"/>
      <protection hidden="1"/>
    </xf>
    <xf numFmtId="3" fontId="6" fillId="0" borderId="23" xfId="0" applyNumberFormat="1" applyFont="1" applyBorder="1" applyAlignment="1" applyProtection="1">
      <alignment horizontal="center" vertical="center" wrapText="1"/>
      <protection hidden="1"/>
    </xf>
    <xf numFmtId="0" fontId="16" fillId="0" borderId="17" xfId="0" applyFont="1" applyFill="1" applyBorder="1" applyAlignment="1" applyProtection="1">
      <alignment horizontal="right"/>
      <protection hidden="1"/>
    </xf>
    <xf numFmtId="3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6" xfId="0" applyFont="1" applyFill="1" applyBorder="1" applyAlignment="1" applyProtection="1">
      <alignment horizontal="right"/>
      <protection hidden="1"/>
    </xf>
    <xf numFmtId="0" fontId="16" fillId="0" borderId="17" xfId="0" applyFont="1" applyFill="1" applyBorder="1" applyAlignment="1" applyProtection="1">
      <protection hidden="1"/>
    </xf>
    <xf numFmtId="0" fontId="6" fillId="0" borderId="1" xfId="0" applyFont="1" applyFill="1" applyBorder="1" applyAlignment="1" applyProtection="1">
      <alignment horizontal="left" vertical="center" indent="2"/>
      <protection hidden="1"/>
    </xf>
    <xf numFmtId="4" fontId="8" fillId="0" borderId="0" xfId="0" applyNumberFormat="1" applyFont="1" applyFill="1" applyBorder="1" applyProtection="1">
      <protection hidden="1"/>
    </xf>
    <xf numFmtId="0" fontId="1" fillId="0" borderId="0" xfId="0" applyFont="1" applyAlignment="1" applyProtection="1">
      <protection hidden="1"/>
    </xf>
    <xf numFmtId="2" fontId="0" fillId="0" borderId="0" xfId="0" applyNumberFormat="1" applyFill="1" applyProtection="1">
      <protection hidden="1"/>
    </xf>
    <xf numFmtId="0" fontId="6" fillId="0" borderId="45" xfId="0" applyFont="1" applyBorder="1" applyAlignment="1" applyProtection="1">
      <alignment horizontal="left" vertical="center" indent="2"/>
      <protection hidden="1"/>
    </xf>
    <xf numFmtId="0" fontId="4" fillId="0" borderId="46" xfId="0" applyFont="1" applyBorder="1" applyAlignment="1" applyProtection="1">
      <alignment horizontal="right" vertical="center"/>
      <protection hidden="1"/>
    </xf>
    <xf numFmtId="4" fontId="2" fillId="0" borderId="46" xfId="0" applyNumberFormat="1" applyFont="1" applyFill="1" applyBorder="1" applyAlignment="1" applyProtection="1">
      <alignment horizontal="right" vertical="center" wrapText="1" indent="1"/>
      <protection hidden="1"/>
    </xf>
    <xf numFmtId="9" fontId="8" fillId="0" borderId="0" xfId="2" applyFont="1" applyAlignment="1" applyProtection="1">
      <alignment horizontal="right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5" fillId="0" borderId="0" xfId="0" applyFont="1" applyProtection="1">
      <protection hidden="1"/>
    </xf>
    <xf numFmtId="9" fontId="45" fillId="0" borderId="0" xfId="0" applyNumberFormat="1" applyFont="1" applyProtection="1">
      <protection hidden="1"/>
    </xf>
    <xf numFmtId="9" fontId="46" fillId="0" borderId="0" xfId="0" applyNumberFormat="1" applyFont="1" applyProtection="1">
      <protection hidden="1"/>
    </xf>
    <xf numFmtId="0" fontId="0" fillId="0" borderId="11" xfId="0" applyBorder="1" applyProtection="1">
      <protection hidden="1"/>
    </xf>
    <xf numFmtId="2" fontId="5" fillId="0" borderId="0" xfId="0" applyNumberFormat="1" applyFont="1" applyFill="1" applyAlignment="1" applyProtection="1">
      <alignment horizontal="center" vertical="center"/>
      <protection hidden="1"/>
    </xf>
    <xf numFmtId="4" fontId="2" fillId="0" borderId="16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8" xfId="0" applyNumberFormat="1" applyFont="1" applyFill="1" applyBorder="1" applyAlignment="1" applyProtection="1">
      <alignment horizontal="right" vertical="center" wrapText="1" indent="1"/>
      <protection hidden="1"/>
    </xf>
    <xf numFmtId="2" fontId="48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0" fontId="50" fillId="5" borderId="29" xfId="0" applyFont="1" applyFill="1" applyBorder="1" applyProtection="1">
      <protection hidden="1"/>
    </xf>
    <xf numFmtId="4" fontId="32" fillId="3" borderId="7" xfId="1" applyNumberFormat="1" applyFont="1" applyFill="1" applyBorder="1" applyAlignment="1" applyProtection="1">
      <alignment horizontal="left" vertical="center" wrapText="1"/>
      <protection hidden="1"/>
    </xf>
    <xf numFmtId="9" fontId="0" fillId="0" borderId="0" xfId="2" applyFont="1" applyProtection="1">
      <protection hidden="1"/>
    </xf>
    <xf numFmtId="0" fontId="0" fillId="0" borderId="11" xfId="0" applyFill="1" applyBorder="1" applyProtection="1">
      <protection hidden="1"/>
    </xf>
    <xf numFmtId="4" fontId="2" fillId="3" borderId="34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6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47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48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43" xfId="0" applyNumberFormat="1" applyFont="1" applyFill="1" applyBorder="1" applyAlignment="1" applyProtection="1">
      <alignment horizontal="right" vertical="center" wrapText="1" indent="1"/>
      <protection hidden="1"/>
    </xf>
    <xf numFmtId="0" fontId="23" fillId="0" borderId="0" xfId="1" applyFont="1" applyAlignment="1" applyProtection="1"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left" vertical="center" wrapText="1" indent="2"/>
      <protection hidden="1"/>
    </xf>
    <xf numFmtId="0" fontId="6" fillId="4" borderId="25" xfId="0" applyFont="1" applyFill="1" applyBorder="1" applyAlignment="1" applyProtection="1">
      <alignment horizontal="left" vertical="center" wrapText="1" indent="2"/>
      <protection hidden="1"/>
    </xf>
    <xf numFmtId="0" fontId="6" fillId="4" borderId="26" xfId="0" applyFont="1" applyFill="1" applyBorder="1" applyAlignment="1" applyProtection="1">
      <alignment horizontal="left" vertical="center" wrapText="1" indent="2"/>
      <protection hidden="1"/>
    </xf>
    <xf numFmtId="2" fontId="0" fillId="0" borderId="0" xfId="2" applyNumberFormat="1" applyFont="1" applyProtection="1">
      <protection hidden="1"/>
    </xf>
    <xf numFmtId="0" fontId="0" fillId="0" borderId="0" xfId="0" applyBorder="1" applyAlignment="1"/>
    <xf numFmtId="0" fontId="6" fillId="0" borderId="7" xfId="0" applyFont="1" applyBorder="1" applyAlignment="1" applyProtection="1">
      <alignment horizontal="left" vertical="center" indent="2"/>
      <protection hidden="1"/>
    </xf>
    <xf numFmtId="0" fontId="6" fillId="0" borderId="32" xfId="0" applyFont="1" applyBorder="1" applyAlignment="1" applyProtection="1">
      <alignment horizontal="left" vertical="center" indent="2"/>
      <protection hidden="1"/>
    </xf>
    <xf numFmtId="0" fontId="4" fillId="0" borderId="32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23" fillId="0" borderId="0" xfId="1" applyFont="1" applyFill="1" applyAlignment="1" applyProtection="1">
      <protection hidden="1"/>
    </xf>
    <xf numFmtId="0" fontId="17" fillId="0" borderId="0" xfId="1" applyFill="1" applyAlignment="1" applyProtection="1">
      <protection hidden="1"/>
    </xf>
    <xf numFmtId="4" fontId="2" fillId="0" borderId="5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8" borderId="0" xfId="0" applyFont="1" applyFill="1" applyBorder="1" applyAlignment="1" applyProtection="1">
      <alignment horizontal="center"/>
      <protection hidden="1"/>
    </xf>
    <xf numFmtId="167" fontId="51" fillId="0" borderId="17" xfId="0" applyNumberFormat="1" applyFont="1" applyBorder="1" applyAlignment="1" applyProtection="1">
      <alignment horizontal="left"/>
      <protection hidden="1"/>
    </xf>
    <xf numFmtId="0" fontId="4" fillId="0" borderId="31" xfId="0" applyFont="1" applyBorder="1" applyAlignment="1" applyProtection="1">
      <alignment horizontal="right" vertical="center"/>
      <protection hidden="1"/>
    </xf>
    <xf numFmtId="0" fontId="17" fillId="0" borderId="0" xfId="1" applyAlignment="1" applyProtection="1">
      <protection hidden="1"/>
    </xf>
    <xf numFmtId="4" fontId="2" fillId="3" borderId="1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2" fillId="0" borderId="32" xfId="0" applyFont="1" applyFill="1" applyBorder="1" applyAlignment="1" applyProtection="1">
      <alignment vertical="center" wrapText="1"/>
      <protection hidden="1"/>
    </xf>
    <xf numFmtId="0" fontId="4" fillId="0" borderId="11" xfId="0" applyFont="1" applyBorder="1" applyAlignment="1" applyProtection="1">
      <alignment horizontal="right" vertical="center"/>
      <protection hidden="1"/>
    </xf>
    <xf numFmtId="4" fontId="0" fillId="0" borderId="12" xfId="0" applyNumberFormat="1" applyFill="1" applyBorder="1" applyProtection="1"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4" fontId="2" fillId="0" borderId="8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44" xfId="0" applyNumberFormat="1" applyFont="1" applyFill="1" applyBorder="1" applyAlignment="1" applyProtection="1">
      <alignment horizontal="right" vertical="center" wrapText="1" indent="1"/>
      <protection hidden="1"/>
    </xf>
    <xf numFmtId="0" fontId="0" fillId="9" borderId="11" xfId="0" applyFill="1" applyBorder="1" applyProtection="1">
      <protection hidden="1"/>
    </xf>
    <xf numFmtId="1" fontId="0" fillId="0" borderId="0" xfId="0" applyNumberFormat="1" applyProtection="1">
      <protection hidden="1"/>
    </xf>
    <xf numFmtId="1" fontId="0" fillId="0" borderId="0" xfId="2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left" vertical="center" indent="2"/>
      <protection hidden="1"/>
    </xf>
    <xf numFmtId="0" fontId="6" fillId="0" borderId="9" xfId="0" applyFont="1" applyFill="1" applyBorder="1" applyAlignment="1" applyProtection="1">
      <alignment horizontal="left" vertical="center" indent="2"/>
      <protection hidden="1"/>
    </xf>
    <xf numFmtId="0" fontId="3" fillId="0" borderId="0" xfId="0" applyFont="1" applyBorder="1" applyAlignment="1" applyProtection="1">
      <protection hidden="1"/>
    </xf>
    <xf numFmtId="0" fontId="20" fillId="0" borderId="0" xfId="0" applyFont="1" applyBorder="1" applyProtection="1">
      <protection hidden="1"/>
    </xf>
    <xf numFmtId="0" fontId="6" fillId="0" borderId="16" xfId="0" applyFont="1" applyFill="1" applyBorder="1" applyAlignment="1" applyProtection="1">
      <alignment vertical="center" wrapText="1"/>
      <protection hidden="1"/>
    </xf>
    <xf numFmtId="0" fontId="6" fillId="0" borderId="14" xfId="0" applyFont="1" applyBorder="1" applyAlignment="1" applyProtection="1">
      <alignment horizontal="right" vertical="center"/>
      <protection hidden="1"/>
    </xf>
    <xf numFmtId="0" fontId="6" fillId="0" borderId="13" xfId="0" applyFont="1" applyBorder="1" applyAlignment="1" applyProtection="1">
      <alignment horizontal="right" vertical="center"/>
      <protection hidden="1"/>
    </xf>
    <xf numFmtId="0" fontId="20" fillId="5" borderId="29" xfId="0" applyFont="1" applyFill="1" applyBorder="1" applyAlignment="1" applyProtection="1">
      <alignment vertical="center"/>
      <protection hidden="1"/>
    </xf>
    <xf numFmtId="0" fontId="20" fillId="5" borderId="2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0" borderId="27" xfId="0" applyFont="1" applyBorder="1" applyAlignment="1" applyProtection="1">
      <alignment horizontal="right" vertical="center"/>
      <protection hidden="1"/>
    </xf>
    <xf numFmtId="4" fontId="2" fillId="0" borderId="28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17" xfId="0" applyFont="1" applyBorder="1" applyAlignment="1" applyProtection="1">
      <alignment vertical="center"/>
      <protection hidden="1"/>
    </xf>
    <xf numFmtId="4" fontId="2" fillId="0" borderId="7" xfId="0" applyNumberFormat="1" applyFont="1" applyFill="1" applyBorder="1" applyAlignment="1" applyProtection="1">
      <alignment horizontal="right" vertical="center" wrapText="1"/>
      <protection hidden="1"/>
    </xf>
    <xf numFmtId="3" fontId="20" fillId="0" borderId="0" xfId="0" applyNumberFormat="1" applyFont="1" applyAlignment="1" applyProtection="1">
      <alignment vertical="center"/>
      <protection hidden="1"/>
    </xf>
    <xf numFmtId="3" fontId="20" fillId="0" borderId="0" xfId="0" applyNumberFormat="1" applyFont="1" applyFill="1" applyBorder="1" applyAlignment="1" applyProtection="1">
      <alignment vertical="center"/>
      <protection hidden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4" fontId="2" fillId="0" borderId="9" xfId="0" applyNumberFormat="1" applyFont="1" applyFill="1" applyBorder="1" applyAlignment="1" applyProtection="1">
      <alignment horizontal="right" vertical="center" wrapText="1"/>
      <protection hidden="1"/>
    </xf>
    <xf numFmtId="0" fontId="25" fillId="5" borderId="29" xfId="1" applyFont="1" applyFill="1" applyBorder="1" applyAlignment="1" applyProtection="1">
      <alignment vertical="center"/>
      <protection hidden="1"/>
    </xf>
    <xf numFmtId="0" fontId="25" fillId="5" borderId="2" xfId="1" applyFont="1" applyFill="1" applyBorder="1" applyAlignment="1" applyProtection="1">
      <alignment vertical="center"/>
      <protection hidden="1"/>
    </xf>
    <xf numFmtId="0" fontId="6" fillId="0" borderId="22" xfId="0" applyFont="1" applyBorder="1" applyAlignment="1" applyProtection="1">
      <alignment vertical="center"/>
      <protection hidden="1"/>
    </xf>
    <xf numFmtId="4" fontId="2" fillId="0" borderId="5" xfId="0" applyNumberFormat="1" applyFont="1" applyFill="1" applyBorder="1" applyAlignment="1" applyProtection="1">
      <alignment horizontal="right" vertical="center" wrapText="1"/>
      <protection hidden="1"/>
    </xf>
    <xf numFmtId="3" fontId="6" fillId="0" borderId="0" xfId="0" applyNumberFormat="1" applyFont="1" applyFill="1" applyAlignment="1" applyProtection="1">
      <alignment vertical="center"/>
      <protection hidden="1"/>
    </xf>
    <xf numFmtId="4" fontId="2" fillId="0" borderId="0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0" xfId="0" applyFont="1" applyFill="1" applyAlignment="1" applyProtection="1">
      <alignment vertical="center"/>
      <protection hidden="1"/>
    </xf>
    <xf numFmtId="4" fontId="47" fillId="0" borderId="7" xfId="0" applyNumberFormat="1" applyFont="1" applyFill="1" applyBorder="1" applyAlignment="1" applyProtection="1">
      <alignment horizontal="right" vertical="center" wrapText="1"/>
      <protection hidden="1"/>
    </xf>
    <xf numFmtId="2" fontId="20" fillId="0" borderId="0" xfId="0" applyNumberFormat="1" applyFont="1" applyAlignment="1" applyProtection="1">
      <alignment vertical="center"/>
      <protection hidden="1"/>
    </xf>
    <xf numFmtId="4" fontId="20" fillId="0" borderId="0" xfId="0" applyNumberFormat="1" applyFont="1" applyAlignment="1" applyProtection="1">
      <alignment vertical="center"/>
      <protection hidden="1"/>
    </xf>
    <xf numFmtId="4" fontId="2" fillId="0" borderId="11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34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35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33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38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44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15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43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13" xfId="0" applyNumberFormat="1" applyFont="1" applyFill="1" applyBorder="1" applyAlignment="1" applyProtection="1">
      <alignment horizontal="right" vertical="center" wrapText="1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4" fontId="2" fillId="0" borderId="36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37" xfId="0" applyNumberFormat="1" applyFont="1" applyFill="1" applyBorder="1" applyAlignment="1" applyProtection="1">
      <alignment horizontal="right" vertical="center" wrapText="1"/>
      <protection hidden="1"/>
    </xf>
    <xf numFmtId="2" fontId="20" fillId="0" borderId="0" xfId="0" applyNumberFormat="1" applyFont="1" applyAlignment="1" applyProtection="1">
      <alignment horizontal="right" vertical="center"/>
      <protection hidden="1"/>
    </xf>
    <xf numFmtId="0" fontId="20" fillId="0" borderId="0" xfId="0" applyFont="1" applyFill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horizontal="right" vertical="center"/>
      <protection hidden="1"/>
    </xf>
    <xf numFmtId="0" fontId="6" fillId="0" borderId="16" xfId="0" applyFont="1" applyBorder="1" applyAlignment="1" applyProtection="1">
      <alignment horizontal="right" vertical="center"/>
      <protection hidden="1"/>
    </xf>
    <xf numFmtId="10" fontId="0" fillId="0" borderId="0" xfId="0" applyNumberFormat="1" applyFill="1" applyProtection="1">
      <protection hidden="1"/>
    </xf>
    <xf numFmtId="10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9" fontId="0" fillId="0" borderId="0" xfId="0" applyNumberFormat="1" applyFill="1" applyBorder="1" applyProtection="1">
      <protection hidden="1"/>
    </xf>
    <xf numFmtId="0" fontId="0" fillId="0" borderId="0" xfId="2" applyNumberFormat="1" applyFont="1" applyProtection="1">
      <protection hidden="1"/>
    </xf>
    <xf numFmtId="0" fontId="0" fillId="0" borderId="0" xfId="0" applyNumberFormat="1" applyProtection="1">
      <protection hidden="1"/>
    </xf>
    <xf numFmtId="10" fontId="0" fillId="0" borderId="0" xfId="0" applyNumberFormat="1" applyFill="1" applyBorder="1" applyProtection="1">
      <protection hidden="1"/>
    </xf>
    <xf numFmtId="0" fontId="0" fillId="0" borderId="0" xfId="0" applyAlignment="1" applyProtection="1">
      <protection hidden="1"/>
    </xf>
    <xf numFmtId="0" fontId="52" fillId="9" borderId="11" xfId="0" applyFont="1" applyFill="1" applyBorder="1" applyProtection="1">
      <protection hidden="1"/>
    </xf>
    <xf numFmtId="3" fontId="0" fillId="9" borderId="11" xfId="0" applyNumberFormat="1" applyFill="1" applyBorder="1" applyProtection="1">
      <protection hidden="1"/>
    </xf>
    <xf numFmtId="0" fontId="0" fillId="9" borderId="49" xfId="0" applyFill="1" applyBorder="1" applyProtection="1">
      <protection hidden="1"/>
    </xf>
    <xf numFmtId="0" fontId="0" fillId="9" borderId="50" xfId="0" applyFill="1" applyBorder="1" applyProtection="1">
      <protection hidden="1"/>
    </xf>
    <xf numFmtId="0" fontId="52" fillId="9" borderId="49" xfId="0" applyFont="1" applyFill="1" applyBorder="1" applyProtection="1">
      <protection hidden="1"/>
    </xf>
    <xf numFmtId="0" fontId="53" fillId="0" borderId="0" xfId="0" applyFont="1" applyFill="1" applyBorder="1" applyAlignment="1" applyProtection="1">
      <alignment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10" fontId="0" fillId="0" borderId="11" xfId="0" applyNumberFormat="1" applyBorder="1" applyProtection="1">
      <protection hidden="1"/>
    </xf>
    <xf numFmtId="9" fontId="0" fillId="0" borderId="0" xfId="2" applyNumberFormat="1" applyFont="1" applyProtection="1">
      <protection hidden="1"/>
    </xf>
    <xf numFmtId="10" fontId="0" fillId="0" borderId="0" xfId="2" applyNumberFormat="1" applyFont="1" applyProtection="1">
      <protection hidden="1"/>
    </xf>
    <xf numFmtId="3" fontId="0" fillId="0" borderId="0" xfId="0" applyNumberFormat="1" applyFill="1" applyBorder="1" applyProtection="1">
      <protection hidden="1"/>
    </xf>
    <xf numFmtId="4" fontId="2" fillId="3" borderId="22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7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23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7" xfId="0" applyNumberFormat="1" applyFont="1" applyBorder="1" applyAlignment="1" applyProtection="1">
      <alignment horizontal="right" vertical="center" wrapText="1"/>
      <protection hidden="1"/>
    </xf>
    <xf numFmtId="3" fontId="6" fillId="0" borderId="6" xfId="0" applyNumberFormat="1" applyFont="1" applyBorder="1" applyAlignment="1" applyProtection="1">
      <alignment horizontal="right" vertical="center" wrapText="1"/>
      <protection hidden="1"/>
    </xf>
    <xf numFmtId="3" fontId="6" fillId="0" borderId="6" xfId="0" applyNumberFormat="1" applyFont="1" applyFill="1" applyBorder="1" applyAlignment="1" applyProtection="1">
      <alignment horizontal="right" vertical="center" wrapText="1"/>
      <protection hidden="1"/>
    </xf>
    <xf numFmtId="166" fontId="6" fillId="0" borderId="7" xfId="0" applyNumberFormat="1" applyFont="1" applyBorder="1" applyAlignment="1" applyProtection="1">
      <alignment horizontal="right" vertical="center" wrapText="1"/>
      <protection hidden="1"/>
    </xf>
    <xf numFmtId="3" fontId="6" fillId="0" borderId="9" xfId="0" applyNumberFormat="1" applyFont="1" applyBorder="1" applyAlignment="1" applyProtection="1">
      <alignment horizontal="right" vertical="center" wrapText="1"/>
      <protection hidden="1"/>
    </xf>
    <xf numFmtId="3" fontId="6" fillId="0" borderId="5" xfId="0" applyNumberFormat="1" applyFont="1" applyBorder="1" applyAlignment="1" applyProtection="1">
      <alignment horizontal="right" vertical="center" wrapText="1"/>
      <protection hidden="1"/>
    </xf>
    <xf numFmtId="0" fontId="16" fillId="0" borderId="17" xfId="0" applyFont="1" applyFill="1" applyBorder="1" applyAlignment="1" applyProtection="1">
      <alignment horizontal="right"/>
      <protection hidden="1"/>
    </xf>
    <xf numFmtId="0" fontId="16" fillId="0" borderId="13" xfId="0" applyFont="1" applyFill="1" applyBorder="1" applyAlignment="1" applyProtection="1">
      <alignment horizontal="right"/>
      <protection hidden="1"/>
    </xf>
    <xf numFmtId="0" fontId="16" fillId="0" borderId="27" xfId="0" applyFont="1" applyFill="1" applyBorder="1" applyAlignment="1" applyProtection="1">
      <alignment horizontal="right"/>
      <protection hidden="1"/>
    </xf>
    <xf numFmtId="0" fontId="23" fillId="0" borderId="0" xfId="1" applyFont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13" xfId="0" applyFont="1" applyFill="1" applyBorder="1" applyAlignment="1" applyProtection="1">
      <protection hidden="1"/>
    </xf>
    <xf numFmtId="3" fontId="6" fillId="0" borderId="4" xfId="0" applyNumberFormat="1" applyFont="1" applyBorder="1" applyAlignment="1" applyProtection="1">
      <alignment horizontal="right" vertical="center" wrapText="1"/>
      <protection hidden="1"/>
    </xf>
    <xf numFmtId="166" fontId="6" fillId="0" borderId="6" xfId="0" applyNumberFormat="1" applyFont="1" applyBorder="1" applyAlignment="1" applyProtection="1">
      <alignment horizontal="right" vertical="center" wrapText="1"/>
      <protection hidden="1"/>
    </xf>
    <xf numFmtId="3" fontId="6" fillId="0" borderId="8" xfId="0" applyNumberFormat="1" applyFont="1" applyBorder="1" applyAlignment="1" applyProtection="1">
      <alignment horizontal="right" vertical="center" wrapText="1"/>
      <protection hidden="1"/>
    </xf>
    <xf numFmtId="0" fontId="14" fillId="0" borderId="0" xfId="0" applyFont="1" applyFill="1" applyBorder="1" applyAlignment="1" applyProtection="1">
      <alignment horizontal="right" wrapText="1"/>
      <protection hidden="1"/>
    </xf>
    <xf numFmtId="0" fontId="8" fillId="7" borderId="0" xfId="0" applyFont="1" applyFill="1" applyBorder="1" applyAlignment="1" applyProtection="1">
      <alignment horizontal="right"/>
      <protection hidden="1"/>
    </xf>
    <xf numFmtId="0" fontId="19" fillId="0" borderId="0" xfId="0" applyFont="1" applyAlignment="1" applyProtection="1">
      <alignment horizontal="right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0" fillId="0" borderId="0" xfId="0" applyFill="1" applyAlignment="1" applyProtection="1">
      <alignment horizontal="right"/>
      <protection hidden="1"/>
    </xf>
    <xf numFmtId="0" fontId="22" fillId="0" borderId="0" xfId="0" applyFont="1" applyFill="1" applyBorder="1" applyAlignment="1" applyProtection="1">
      <alignment horizontal="right" wrapText="1"/>
      <protection hidden="1"/>
    </xf>
    <xf numFmtId="0" fontId="4" fillId="0" borderId="24" xfId="0" applyFont="1" applyBorder="1" applyAlignment="1" applyProtection="1">
      <alignment horizontal="right" vertical="center"/>
      <protection hidden="1"/>
    </xf>
    <xf numFmtId="0" fontId="4" fillId="0" borderId="26" xfId="0" applyFont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5" xfId="0" applyFont="1" applyBorder="1" applyAlignment="1" applyProtection="1">
      <alignment horizontal="right" vertical="center" wrapText="1"/>
      <protection hidden="1"/>
    </xf>
    <xf numFmtId="0" fontId="4" fillId="0" borderId="9" xfId="0" applyFont="1" applyBorder="1" applyAlignment="1" applyProtection="1">
      <alignment horizontal="right" vertical="center" wrapText="1"/>
      <protection hidden="1"/>
    </xf>
    <xf numFmtId="0" fontId="4" fillId="0" borderId="7" xfId="0" applyFont="1" applyBorder="1" applyAlignment="1" applyProtection="1">
      <alignment horizontal="right" vertical="center" wrapText="1"/>
      <protection hidden="1"/>
    </xf>
    <xf numFmtId="0" fontId="4" fillId="0" borderId="25" xfId="0" applyFont="1" applyBorder="1" applyAlignment="1" applyProtection="1">
      <alignment horizontal="right" vertical="center" wrapText="1"/>
      <protection hidden="1"/>
    </xf>
    <xf numFmtId="0" fontId="4" fillId="0" borderId="26" xfId="0" applyFont="1" applyBorder="1" applyAlignment="1" applyProtection="1">
      <alignment horizontal="right" vertical="center" wrapText="1"/>
      <protection hidden="1"/>
    </xf>
    <xf numFmtId="0" fontId="4" fillId="0" borderId="24" xfId="0" applyFont="1" applyBorder="1" applyAlignment="1" applyProtection="1">
      <alignment horizontal="right" vertical="center" wrapText="1"/>
      <protection hidden="1"/>
    </xf>
    <xf numFmtId="0" fontId="6" fillId="4" borderId="2" xfId="0" applyFont="1" applyFill="1" applyBorder="1" applyAlignment="1" applyProtection="1">
      <alignment horizontal="right" vertical="center" wrapText="1"/>
      <protection hidden="1"/>
    </xf>
    <xf numFmtId="0" fontId="4" fillId="0" borderId="14" xfId="0" applyFont="1" applyBorder="1" applyAlignment="1" applyProtection="1">
      <alignment horizontal="right" vertical="center" wrapText="1"/>
      <protection hidden="1"/>
    </xf>
    <xf numFmtId="0" fontId="4" fillId="0" borderId="13" xfId="0" applyFont="1" applyBorder="1" applyAlignment="1" applyProtection="1">
      <alignment horizontal="right" vertical="center" wrapText="1"/>
      <protection hidden="1"/>
    </xf>
    <xf numFmtId="0" fontId="4" fillId="0" borderId="15" xfId="0" applyFont="1" applyBorder="1" applyAlignment="1" applyProtection="1">
      <alignment horizontal="right" vertical="center" wrapText="1"/>
      <protection hidden="1"/>
    </xf>
    <xf numFmtId="0" fontId="16" fillId="0" borderId="17" xfId="0" applyFont="1" applyFill="1" applyBorder="1" applyAlignment="1" applyProtection="1">
      <alignment horizontal="right"/>
      <protection hidden="1"/>
    </xf>
    <xf numFmtId="0" fontId="16" fillId="0" borderId="13" xfId="0" applyFont="1" applyFill="1" applyBorder="1" applyAlignment="1" applyProtection="1">
      <alignment horizontal="right"/>
      <protection hidden="1"/>
    </xf>
    <xf numFmtId="0" fontId="20" fillId="5" borderId="32" xfId="0" applyFont="1" applyFill="1" applyBorder="1" applyProtection="1">
      <protection hidden="1"/>
    </xf>
    <xf numFmtId="0" fontId="20" fillId="0" borderId="13" xfId="0" applyFont="1" applyBorder="1" applyProtection="1"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Alignment="1" applyProtection="1">
      <alignment horizontal="right"/>
      <protection hidden="1"/>
    </xf>
    <xf numFmtId="0" fontId="4" fillId="0" borderId="24" xfId="0" applyFont="1" applyBorder="1" applyAlignment="1" applyProtection="1">
      <alignment horizontal="right" vertical="center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right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left" vertical="center" indent="2"/>
      <protection hidden="1"/>
    </xf>
    <xf numFmtId="0" fontId="0" fillId="9" borderId="24" xfId="0" applyFill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0" xfId="2" applyNumberFormat="1" applyFont="1" applyFill="1" applyBorder="1" applyProtection="1">
      <protection hidden="1"/>
    </xf>
    <xf numFmtId="2" fontId="0" fillId="0" borderId="0" xfId="2" applyNumberFormat="1" applyFont="1" applyFill="1" applyBorder="1" applyProtection="1">
      <protection hidden="1"/>
    </xf>
    <xf numFmtId="0" fontId="0" fillId="0" borderId="0" xfId="2" applyNumberFormat="1" applyFont="1" applyFill="1" applyProtection="1">
      <protection hidden="1"/>
    </xf>
    <xf numFmtId="2" fontId="0" fillId="0" borderId="0" xfId="2" applyNumberFormat="1" applyFont="1" applyFill="1" applyProtection="1">
      <protection hidden="1"/>
    </xf>
    <xf numFmtId="4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20" fillId="5" borderId="2" xfId="0" applyFont="1" applyFill="1" applyBorder="1" applyProtection="1">
      <protection hidden="1"/>
    </xf>
    <xf numFmtId="4" fontId="2" fillId="0" borderId="4" xfId="0" applyNumberFormat="1" applyFont="1" applyFill="1" applyBorder="1" applyAlignment="1" applyProtection="1">
      <alignment horizontal="right" vertical="center" wrapText="1" indent="1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horizontal="right"/>
      <protection hidden="1"/>
    </xf>
    <xf numFmtId="0" fontId="2" fillId="4" borderId="22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left" vertical="center" indent="2"/>
      <protection hidden="1"/>
    </xf>
    <xf numFmtId="0" fontId="20" fillId="0" borderId="30" xfId="0" applyFont="1" applyBorder="1" applyProtection="1">
      <protection hidden="1"/>
    </xf>
    <xf numFmtId="4" fontId="2" fillId="0" borderId="25" xfId="0" applyNumberFormat="1" applyFont="1" applyFill="1" applyBorder="1" applyAlignment="1" applyProtection="1">
      <alignment horizontal="right" vertical="center" wrapText="1" indent="1"/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6" fillId="4" borderId="40" xfId="0" applyFont="1" applyFill="1" applyBorder="1" applyAlignment="1" applyProtection="1">
      <alignment horizontal="right" vertical="center" wrapText="1"/>
      <protection hidden="1"/>
    </xf>
    <xf numFmtId="0" fontId="6" fillId="4" borderId="41" xfId="0" applyFont="1" applyFill="1" applyBorder="1" applyAlignment="1" applyProtection="1">
      <alignment horizontal="right" vertical="center" wrapText="1"/>
      <protection hidden="1"/>
    </xf>
    <xf numFmtId="0" fontId="2" fillId="4" borderId="41" xfId="0" applyFont="1" applyFill="1" applyBorder="1" applyAlignment="1" applyProtection="1">
      <alignment horizontal="center" vertical="center" wrapText="1"/>
      <protection hidden="1"/>
    </xf>
    <xf numFmtId="0" fontId="2" fillId="4" borderId="37" xfId="0" applyFont="1" applyFill="1" applyBorder="1" applyAlignment="1" applyProtection="1">
      <alignment horizontal="center" vertical="center" wrapText="1"/>
      <protection hidden="1"/>
    </xf>
    <xf numFmtId="0" fontId="6" fillId="4" borderId="39" xfId="0" applyFont="1" applyFill="1" applyBorder="1" applyAlignment="1" applyProtection="1">
      <alignment horizontal="right" vertical="center" wrapText="1"/>
      <protection hidden="1"/>
    </xf>
    <xf numFmtId="0" fontId="2" fillId="4" borderId="39" xfId="0" applyFont="1" applyFill="1" applyBorder="1" applyAlignment="1" applyProtection="1">
      <alignment horizontal="center" vertical="center" wrapText="1"/>
      <protection hidden="1"/>
    </xf>
    <xf numFmtId="0" fontId="2" fillId="4" borderId="38" xfId="0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horizontal="right"/>
      <protection hidden="1"/>
    </xf>
    <xf numFmtId="3" fontId="6" fillId="0" borderId="11" xfId="0" applyNumberFormat="1" applyFont="1" applyBorder="1" applyAlignment="1" applyProtection="1">
      <alignment horizontal="center" vertical="center" wrapText="1"/>
      <protection hidden="1"/>
    </xf>
    <xf numFmtId="4" fontId="2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4" fontId="2" fillId="0" borderId="52" xfId="0" applyNumberFormat="1" applyFont="1" applyFill="1" applyBorder="1" applyAlignment="1" applyProtection="1">
      <alignment horizontal="right" vertical="center" wrapText="1"/>
      <protection hidden="1"/>
    </xf>
    <xf numFmtId="0" fontId="25" fillId="5" borderId="32" xfId="1" applyFont="1" applyFill="1" applyBorder="1" applyAlignment="1" applyProtection="1">
      <alignment vertical="center"/>
      <protection hidden="1"/>
    </xf>
    <xf numFmtId="0" fontId="25" fillId="5" borderId="18" xfId="1" applyFont="1" applyFill="1" applyBorder="1" applyAlignment="1" applyProtection="1">
      <alignment vertical="center"/>
      <protection hidden="1"/>
    </xf>
    <xf numFmtId="0" fontId="6" fillId="0" borderId="43" xfId="0" applyFont="1" applyBorder="1" applyAlignment="1" applyProtection="1">
      <alignment horizontal="right" vertical="center"/>
      <protection hidden="1"/>
    </xf>
    <xf numFmtId="0" fontId="6" fillId="0" borderId="23" xfId="0" applyFont="1" applyBorder="1" applyAlignment="1" applyProtection="1">
      <alignment vertical="center"/>
      <protection hidden="1"/>
    </xf>
    <xf numFmtId="0" fontId="6" fillId="0" borderId="44" xfId="0" applyFont="1" applyBorder="1" applyAlignment="1" applyProtection="1">
      <alignment horizontal="right" vertical="center"/>
      <protection hidden="1"/>
    </xf>
    <xf numFmtId="0" fontId="20" fillId="5" borderId="32" xfId="0" applyFont="1" applyFill="1" applyBorder="1" applyAlignment="1" applyProtection="1">
      <alignment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4" fontId="2" fillId="3" borderId="53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29" xfId="0" applyNumberFormat="1" applyFont="1" applyBorder="1" applyAlignment="1" applyProtection="1">
      <alignment horizontal="center" vertical="center" wrapText="1"/>
      <protection hidden="1"/>
    </xf>
    <xf numFmtId="2" fontId="6" fillId="0" borderId="11" xfId="0" applyNumberFormat="1" applyFont="1" applyBorder="1" applyAlignment="1" applyProtection="1">
      <alignment horizontal="left" vertical="center" wrapText="1" indent="2"/>
      <protection hidden="1"/>
    </xf>
    <xf numFmtId="2" fontId="6" fillId="0" borderId="1" xfId="0" applyNumberFormat="1" applyFont="1" applyBorder="1" applyAlignment="1" applyProtection="1">
      <alignment horizontal="left" vertical="center" indent="2"/>
      <protection hidden="1"/>
    </xf>
    <xf numFmtId="0" fontId="6" fillId="0" borderId="32" xfId="0" applyFont="1" applyBorder="1" applyAlignment="1" applyProtection="1">
      <alignment vertical="center"/>
      <protection hidden="1"/>
    </xf>
    <xf numFmtId="0" fontId="6" fillId="0" borderId="32" xfId="0" applyFont="1" applyBorder="1" applyAlignment="1" applyProtection="1">
      <alignment horizontal="right" vertical="center"/>
      <protection hidden="1"/>
    </xf>
    <xf numFmtId="4" fontId="2" fillId="0" borderId="32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1" xfId="0" applyNumberFormat="1" applyFont="1" applyFill="1" applyBorder="1" applyAlignment="1" applyProtection="1">
      <alignment horizontal="right" vertical="center" wrapText="1" inden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4" fontId="2" fillId="0" borderId="12" xfId="0" applyNumberFormat="1" applyFont="1" applyFill="1" applyBorder="1" applyAlignment="1" applyProtection="1">
      <alignment horizontal="right" vertical="center" wrapText="1" indent="1"/>
      <protection hidden="1"/>
    </xf>
    <xf numFmtId="0" fontId="2" fillId="0" borderId="10" xfId="0" applyFont="1" applyFill="1" applyBorder="1" applyAlignment="1" applyProtection="1">
      <alignment horizontal="center" vertical="center" wrapText="1"/>
      <protection hidden="1"/>
    </xf>
    <xf numFmtId="0" fontId="2" fillId="0" borderId="32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2" fillId="4" borderId="22" xfId="0" applyFont="1" applyFill="1" applyBorder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horizontal="right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34" fillId="0" borderId="0" xfId="1" applyFont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3" fontId="6" fillId="0" borderId="20" xfId="0" applyNumberFormat="1" applyFont="1" applyBorder="1" applyAlignment="1" applyProtection="1">
      <alignment horizontal="center" vertical="center" wrapText="1"/>
      <protection hidden="1"/>
    </xf>
    <xf numFmtId="4" fontId="2" fillId="3" borderId="3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4" borderId="55" xfId="0" applyFont="1" applyFill="1" applyBorder="1" applyAlignment="1" applyProtection="1">
      <alignment horizontal="right" vertical="center" wrapText="1"/>
      <protection hidden="1"/>
    </xf>
    <xf numFmtId="0" fontId="2" fillId="4" borderId="55" xfId="0" applyFont="1" applyFill="1" applyBorder="1" applyAlignment="1" applyProtection="1">
      <alignment horizontal="center" vertical="center" wrapText="1"/>
      <protection hidden="1"/>
    </xf>
    <xf numFmtId="0" fontId="2" fillId="4" borderId="56" xfId="0" applyFont="1" applyFill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right" vertical="center"/>
      <protection hidden="1"/>
    </xf>
    <xf numFmtId="4" fontId="2" fillId="0" borderId="46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14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15" xfId="0" applyFont="1" applyBorder="1" applyAlignment="1" applyProtection="1">
      <alignment horizontal="right" vertical="center"/>
      <protection hidden="1"/>
    </xf>
    <xf numFmtId="0" fontId="6" fillId="0" borderId="52" xfId="0" applyFont="1" applyBorder="1" applyAlignment="1" applyProtection="1">
      <alignment horizontal="right" vertical="center"/>
      <protection hidden="1"/>
    </xf>
    <xf numFmtId="4" fontId="2" fillId="0" borderId="25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9" xfId="0" applyFont="1" applyBorder="1" applyAlignment="1" applyProtection="1">
      <alignment horizontal="right" vertical="center"/>
      <protection hidden="1"/>
    </xf>
    <xf numFmtId="4" fontId="2" fillId="0" borderId="18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0" fillId="0" borderId="15" xfId="0" applyFont="1" applyBorder="1" applyProtection="1">
      <protection hidden="1"/>
    </xf>
    <xf numFmtId="0" fontId="31" fillId="0" borderId="0" xfId="0" applyFont="1" applyBorder="1" applyAlignment="1" applyProtection="1">
      <alignment horizontal="left" vertical="top" wrapText="1"/>
      <protection hidden="1"/>
    </xf>
    <xf numFmtId="0" fontId="23" fillId="0" borderId="0" xfId="1" applyFont="1" applyAlignment="1" applyProtection="1">
      <alignment horizontal="right"/>
      <protection hidden="1"/>
    </xf>
    <xf numFmtId="0" fontId="0" fillId="0" borderId="0" xfId="0" applyAlignment="1"/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23" fillId="5" borderId="3" xfId="1" applyFont="1" applyFill="1" applyBorder="1" applyAlignment="1" applyProtection="1">
      <alignment horizontal="right"/>
      <protection hidden="1"/>
    </xf>
    <xf numFmtId="0" fontId="34" fillId="5" borderId="3" xfId="1" applyFont="1" applyFill="1" applyBorder="1" applyAlignment="1" applyProtection="1">
      <alignment horizontal="right"/>
      <protection hidden="1"/>
    </xf>
    <xf numFmtId="0" fontId="0" fillId="0" borderId="3" xfId="0" applyBorder="1" applyAlignment="1"/>
    <xf numFmtId="0" fontId="6" fillId="4" borderId="44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9" fontId="14" fillId="5" borderId="3" xfId="0" applyNumberFormat="1" applyFont="1" applyFill="1" applyBorder="1" applyAlignment="1" applyProtection="1">
      <alignment horizontal="left" wrapText="1"/>
      <protection hidden="1"/>
    </xf>
    <xf numFmtId="0" fontId="14" fillId="5" borderId="3" xfId="0" applyFont="1" applyFill="1" applyBorder="1" applyAlignment="1" applyProtection="1">
      <alignment horizontal="left" wrapText="1"/>
      <protection hidden="1"/>
    </xf>
    <xf numFmtId="0" fontId="49" fillId="5" borderId="3" xfId="0" applyFont="1" applyFill="1" applyBorder="1" applyAlignment="1" applyProtection="1">
      <alignment horizontal="left" wrapText="1"/>
      <protection hidden="1"/>
    </xf>
    <xf numFmtId="0" fontId="28" fillId="5" borderId="3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 vertical="center" wrapText="1"/>
      <protection hidden="1"/>
    </xf>
    <xf numFmtId="0" fontId="16" fillId="0" borderId="17" xfId="0" applyFont="1" applyFill="1" applyBorder="1" applyAlignment="1" applyProtection="1">
      <alignment horizontal="right"/>
      <protection hidden="1"/>
    </xf>
    <xf numFmtId="0" fontId="16" fillId="0" borderId="13" xfId="0" applyFont="1" applyFill="1" applyBorder="1" applyAlignment="1" applyProtection="1">
      <alignment horizontal="right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9" fontId="22" fillId="5" borderId="3" xfId="0" applyNumberFormat="1" applyFont="1" applyFill="1" applyBorder="1" applyAlignment="1" applyProtection="1">
      <alignment horizontal="left" wrapText="1"/>
      <protection hidden="1"/>
    </xf>
    <xf numFmtId="0" fontId="22" fillId="5" borderId="3" xfId="0" applyFont="1" applyFill="1" applyBorder="1" applyAlignment="1" applyProtection="1">
      <alignment horizontal="left" wrapText="1"/>
      <protection hidden="1"/>
    </xf>
    <xf numFmtId="0" fontId="16" fillId="0" borderId="16" xfId="0" applyFont="1" applyFill="1" applyBorder="1" applyAlignment="1" applyProtection="1">
      <alignment horizontal="right"/>
      <protection hidden="1"/>
    </xf>
    <xf numFmtId="0" fontId="16" fillId="0" borderId="27" xfId="0" applyFont="1" applyFill="1" applyBorder="1" applyAlignment="1" applyProtection="1">
      <alignment horizontal="right"/>
      <protection hidden="1"/>
    </xf>
    <xf numFmtId="0" fontId="49" fillId="0" borderId="3" xfId="0" applyFont="1" applyFill="1" applyBorder="1" applyAlignment="1" applyProtection="1">
      <alignment horizontal="left" wrapText="1"/>
      <protection hidden="1"/>
    </xf>
    <xf numFmtId="0" fontId="0" fillId="0" borderId="3" xfId="0" applyBorder="1" applyAlignment="1">
      <alignment wrapText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51" xfId="0" applyFont="1" applyFill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right" indent="2"/>
      <protection hidden="1"/>
    </xf>
    <xf numFmtId="0" fontId="16" fillId="0" borderId="27" xfId="0" applyFont="1" applyBorder="1" applyAlignment="1" applyProtection="1">
      <alignment horizontal="right" indent="2"/>
      <protection hidden="1"/>
    </xf>
    <xf numFmtId="0" fontId="34" fillId="0" borderId="0" xfId="1" applyFont="1" applyFill="1" applyAlignment="1" applyProtection="1">
      <alignment horizontal="right"/>
      <protection hidden="1"/>
    </xf>
    <xf numFmtId="0" fontId="34" fillId="0" borderId="0" xfId="1" applyFont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Alignment="1" applyProtection="1">
      <alignment horizontal="right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6" fillId="0" borderId="45" xfId="0" applyFont="1" applyFill="1" applyBorder="1" applyAlignment="1" applyProtection="1">
      <alignment horizontal="center" vertical="center"/>
      <protection hidden="1"/>
    </xf>
    <xf numFmtId="0" fontId="6" fillId="0" borderId="46" xfId="0" applyFont="1" applyFill="1" applyBorder="1" applyAlignment="1" applyProtection="1">
      <alignment horizontal="center" vertical="center"/>
      <protection hidden="1"/>
    </xf>
    <xf numFmtId="0" fontId="21" fillId="5" borderId="10" xfId="1" applyFont="1" applyFill="1" applyBorder="1" applyAlignment="1" applyProtection="1">
      <alignment horizontal="center" vertical="center"/>
      <protection hidden="1"/>
    </xf>
    <xf numFmtId="0" fontId="21" fillId="5" borderId="18" xfId="1" applyFont="1" applyFill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left" wrapText="1"/>
      <protection hidden="1"/>
    </xf>
    <xf numFmtId="0" fontId="37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right" vertical="center"/>
      <protection hidden="1"/>
    </xf>
    <xf numFmtId="0" fontId="4" fillId="0" borderId="26" xfId="0" applyFont="1" applyBorder="1" applyAlignment="1" applyProtection="1">
      <alignment horizontal="right" vertical="center"/>
      <protection hidden="1"/>
    </xf>
    <xf numFmtId="0" fontId="6" fillId="4" borderId="12" xfId="0" applyFont="1" applyFill="1" applyBorder="1" applyAlignment="1" applyProtection="1">
      <alignment horizontal="left" vertical="center" wrapText="1" indent="2"/>
      <protection hidden="1"/>
    </xf>
    <xf numFmtId="0" fontId="6" fillId="4" borderId="45" xfId="0" applyFont="1" applyFill="1" applyBorder="1" applyAlignment="1" applyProtection="1">
      <alignment horizontal="left" vertical="center" wrapText="1" indent="2"/>
      <protection hidden="1"/>
    </xf>
    <xf numFmtId="0" fontId="3" fillId="5" borderId="1" xfId="0" applyFont="1" applyFill="1" applyBorder="1" applyAlignment="1" applyProtection="1">
      <alignment horizontal="left" wrapText="1"/>
      <protection hidden="1"/>
    </xf>
    <xf numFmtId="0" fontId="3" fillId="5" borderId="29" xfId="0" applyFont="1" applyFill="1" applyBorder="1" applyAlignment="1" applyProtection="1">
      <alignment horizontal="left" wrapText="1"/>
      <protection hidden="1"/>
    </xf>
    <xf numFmtId="3" fontId="2" fillId="0" borderId="3" xfId="0" applyNumberFormat="1" applyFont="1" applyFill="1" applyBorder="1" applyAlignment="1" applyProtection="1">
      <alignment horizontal="left" vertical="center" wrapText="1"/>
      <protection hidden="1"/>
    </xf>
    <xf numFmtId="0" fontId="6" fillId="4" borderId="10" xfId="0" applyFont="1" applyFill="1" applyBorder="1" applyAlignment="1" applyProtection="1">
      <alignment horizontal="left" vertical="center" wrapText="1" indent="2"/>
      <protection hidden="1"/>
    </xf>
    <xf numFmtId="9" fontId="3" fillId="5" borderId="1" xfId="0" applyNumberFormat="1" applyFont="1" applyFill="1" applyBorder="1" applyAlignment="1" applyProtection="1">
      <alignment horizontal="left" wrapText="1"/>
      <protection hidden="1"/>
    </xf>
    <xf numFmtId="9" fontId="3" fillId="5" borderId="29" xfId="0" applyNumberFormat="1" applyFont="1" applyFill="1" applyBorder="1" applyAlignment="1" applyProtection="1">
      <alignment horizontal="left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hidden="1"/>
    </xf>
    <xf numFmtId="0" fontId="6" fillId="4" borderId="45" xfId="0" applyFont="1" applyFill="1" applyBorder="1" applyAlignment="1" applyProtection="1">
      <alignment horizontal="center" vertical="center" wrapText="1"/>
      <protection hidden="1"/>
    </xf>
    <xf numFmtId="0" fontId="6" fillId="4" borderId="21" xfId="0" applyFont="1" applyFill="1" applyBorder="1" applyAlignment="1" applyProtection="1">
      <alignment horizontal="left" vertical="center" wrapText="1" indent="2"/>
      <protection hidden="1"/>
    </xf>
    <xf numFmtId="0" fontId="6" fillId="4" borderId="6" xfId="0" applyFont="1" applyFill="1" applyBorder="1" applyAlignment="1" applyProtection="1">
      <alignment horizontal="left" vertical="center" wrapText="1" indent="2"/>
      <protection hidden="1"/>
    </xf>
    <xf numFmtId="0" fontId="6" fillId="4" borderId="8" xfId="0" applyFont="1" applyFill="1" applyBorder="1" applyAlignment="1" applyProtection="1">
      <alignment horizontal="left" vertical="center" wrapText="1" indent="2"/>
      <protection hidden="1"/>
    </xf>
    <xf numFmtId="0" fontId="6" fillId="4" borderId="54" xfId="0" applyFont="1" applyFill="1" applyBorder="1" applyAlignment="1" applyProtection="1">
      <alignment horizontal="left" vertical="center" wrapText="1" indent="2"/>
      <protection hidden="1"/>
    </xf>
    <xf numFmtId="0" fontId="6" fillId="4" borderId="36" xfId="0" applyFont="1" applyFill="1" applyBorder="1" applyAlignment="1" applyProtection="1">
      <alignment horizontal="left" vertical="center" wrapText="1" indent="2"/>
      <protection hidden="1"/>
    </xf>
    <xf numFmtId="0" fontId="6" fillId="4" borderId="33" xfId="0" applyFont="1" applyFill="1" applyBorder="1" applyAlignment="1" applyProtection="1">
      <alignment horizontal="left" vertical="center" wrapText="1" indent="2"/>
      <protection hidden="1"/>
    </xf>
    <xf numFmtId="0" fontId="6" fillId="4" borderId="34" xfId="0" applyFont="1" applyFill="1" applyBorder="1" applyAlignment="1" applyProtection="1">
      <alignment horizontal="left" vertical="center" wrapText="1" indent="2"/>
      <protection hidden="1"/>
    </xf>
    <xf numFmtId="3" fontId="2" fillId="0" borderId="29" xfId="0" applyNumberFormat="1" applyFont="1" applyFill="1" applyBorder="1" applyAlignment="1" applyProtection="1">
      <alignment horizontal="left" vertical="center" wrapText="1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5" fillId="5" borderId="29" xfId="1" applyFont="1" applyFill="1" applyBorder="1" applyAlignment="1" applyProtection="1">
      <alignment horizontal="right" vertical="center"/>
      <protection hidden="1"/>
    </xf>
    <xf numFmtId="0" fontId="25" fillId="5" borderId="2" xfId="1" applyFont="1" applyFill="1" applyBorder="1" applyAlignment="1" applyProtection="1">
      <alignment horizontal="right" vertical="center"/>
      <protection hidden="1"/>
    </xf>
    <xf numFmtId="9" fontId="3" fillId="5" borderId="1" xfId="0" applyNumberFormat="1" applyFont="1" applyFill="1" applyBorder="1" applyAlignment="1" applyProtection="1">
      <alignment wrapText="1"/>
      <protection hidden="1"/>
    </xf>
    <xf numFmtId="9" fontId="3" fillId="5" borderId="29" xfId="0" applyNumberFormat="1" applyFont="1" applyFill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left"/>
      <protection hidden="1"/>
    </xf>
    <xf numFmtId="2" fontId="44" fillId="0" borderId="0" xfId="0" applyNumberFormat="1" applyFont="1" applyAlignment="1" applyProtection="1">
      <alignment horizontal="left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wrapText="1"/>
      <protection hidden="1"/>
    </xf>
    <xf numFmtId="0" fontId="6" fillId="4" borderId="29" xfId="0" applyFont="1" applyFill="1" applyBorder="1" applyAlignment="1" applyProtection="1">
      <alignment horizontal="center" wrapText="1"/>
      <protection hidden="1"/>
    </xf>
    <xf numFmtId="0" fontId="6" fillId="4" borderId="2" xfId="0" applyFont="1" applyFill="1" applyBorder="1" applyAlignment="1" applyProtection="1">
      <alignment horizontal="center" wrapText="1"/>
      <protection hidden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colors>
    <mruColors>
      <color rgb="FFCCE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jpeg"/><Relationship Id="rId117" Type="http://schemas.openxmlformats.org/officeDocument/2006/relationships/image" Target="../media/image118.png"/><Relationship Id="rId21" Type="http://schemas.openxmlformats.org/officeDocument/2006/relationships/image" Target="../media/image22.jpeg"/><Relationship Id="rId42" Type="http://schemas.openxmlformats.org/officeDocument/2006/relationships/image" Target="../media/image43.png"/><Relationship Id="rId47" Type="http://schemas.openxmlformats.org/officeDocument/2006/relationships/image" Target="../media/image48.jpeg"/><Relationship Id="rId63" Type="http://schemas.openxmlformats.org/officeDocument/2006/relationships/image" Target="../media/image64.jpeg"/><Relationship Id="rId68" Type="http://schemas.openxmlformats.org/officeDocument/2006/relationships/image" Target="../media/image69.png"/><Relationship Id="rId84" Type="http://schemas.openxmlformats.org/officeDocument/2006/relationships/image" Target="../media/image85.pn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png"/><Relationship Id="rId138" Type="http://schemas.openxmlformats.org/officeDocument/2006/relationships/image" Target="../media/image139.png"/><Relationship Id="rId154" Type="http://schemas.openxmlformats.org/officeDocument/2006/relationships/image" Target="../media/image155.jpeg"/><Relationship Id="rId159" Type="http://schemas.openxmlformats.org/officeDocument/2006/relationships/image" Target="../media/image160.png"/><Relationship Id="rId175" Type="http://schemas.openxmlformats.org/officeDocument/2006/relationships/image" Target="../media/image176.png"/><Relationship Id="rId170" Type="http://schemas.openxmlformats.org/officeDocument/2006/relationships/image" Target="../media/image171.jpeg"/><Relationship Id="rId16" Type="http://schemas.openxmlformats.org/officeDocument/2006/relationships/image" Target="../media/image17.jpeg"/><Relationship Id="rId107" Type="http://schemas.openxmlformats.org/officeDocument/2006/relationships/image" Target="../media/image108.png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37" Type="http://schemas.openxmlformats.org/officeDocument/2006/relationships/image" Target="../media/image38.png"/><Relationship Id="rId53" Type="http://schemas.openxmlformats.org/officeDocument/2006/relationships/image" Target="../media/image54.png"/><Relationship Id="rId58" Type="http://schemas.openxmlformats.org/officeDocument/2006/relationships/image" Target="../media/image59.jpeg"/><Relationship Id="rId74" Type="http://schemas.openxmlformats.org/officeDocument/2006/relationships/image" Target="../media/image75.jpe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23" Type="http://schemas.openxmlformats.org/officeDocument/2006/relationships/image" Target="../media/image124.png"/><Relationship Id="rId128" Type="http://schemas.openxmlformats.org/officeDocument/2006/relationships/image" Target="../media/image129.png"/><Relationship Id="rId144" Type="http://schemas.openxmlformats.org/officeDocument/2006/relationships/image" Target="../media/image145.png"/><Relationship Id="rId149" Type="http://schemas.openxmlformats.org/officeDocument/2006/relationships/image" Target="../media/image150.jpeg"/><Relationship Id="rId5" Type="http://schemas.openxmlformats.org/officeDocument/2006/relationships/image" Target="../media/image6.jpeg"/><Relationship Id="rId90" Type="http://schemas.openxmlformats.org/officeDocument/2006/relationships/image" Target="../media/image91.png"/><Relationship Id="rId95" Type="http://schemas.openxmlformats.org/officeDocument/2006/relationships/image" Target="../media/image96.jpeg"/><Relationship Id="rId160" Type="http://schemas.openxmlformats.org/officeDocument/2006/relationships/image" Target="../media/image161.png"/><Relationship Id="rId165" Type="http://schemas.openxmlformats.org/officeDocument/2006/relationships/image" Target="../media/image166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64" Type="http://schemas.openxmlformats.org/officeDocument/2006/relationships/image" Target="../media/image65.jpeg"/><Relationship Id="rId69" Type="http://schemas.openxmlformats.org/officeDocument/2006/relationships/image" Target="../media/image70.png"/><Relationship Id="rId113" Type="http://schemas.openxmlformats.org/officeDocument/2006/relationships/image" Target="../media/image114.png"/><Relationship Id="rId118" Type="http://schemas.openxmlformats.org/officeDocument/2006/relationships/image" Target="../media/image119.png"/><Relationship Id="rId134" Type="http://schemas.openxmlformats.org/officeDocument/2006/relationships/image" Target="../media/image135.png"/><Relationship Id="rId139" Type="http://schemas.openxmlformats.org/officeDocument/2006/relationships/image" Target="../media/image140.png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150" Type="http://schemas.openxmlformats.org/officeDocument/2006/relationships/image" Target="../media/image151.jpeg"/><Relationship Id="rId155" Type="http://schemas.openxmlformats.org/officeDocument/2006/relationships/image" Target="../media/image156.png"/><Relationship Id="rId171" Type="http://schemas.openxmlformats.org/officeDocument/2006/relationships/image" Target="../media/image172.jpeg"/><Relationship Id="rId176" Type="http://schemas.openxmlformats.org/officeDocument/2006/relationships/image" Target="../media/image177.pn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pn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5.png"/><Relationship Id="rId129" Type="http://schemas.openxmlformats.org/officeDocument/2006/relationships/image" Target="../media/image130.png"/><Relationship Id="rId54" Type="http://schemas.openxmlformats.org/officeDocument/2006/relationships/image" Target="../media/image55.jpeg"/><Relationship Id="rId70" Type="http://schemas.openxmlformats.org/officeDocument/2006/relationships/image" Target="../media/image71.png"/><Relationship Id="rId75" Type="http://schemas.openxmlformats.org/officeDocument/2006/relationships/image" Target="../media/image76.jpe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40" Type="http://schemas.openxmlformats.org/officeDocument/2006/relationships/image" Target="../media/image141.png"/><Relationship Id="rId145" Type="http://schemas.openxmlformats.org/officeDocument/2006/relationships/image" Target="../media/image146.png"/><Relationship Id="rId161" Type="http://schemas.openxmlformats.org/officeDocument/2006/relationships/image" Target="../media/image162.png"/><Relationship Id="rId166" Type="http://schemas.openxmlformats.org/officeDocument/2006/relationships/image" Target="../media/image167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49" Type="http://schemas.openxmlformats.org/officeDocument/2006/relationships/image" Target="../media/image50.pn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44" Type="http://schemas.openxmlformats.org/officeDocument/2006/relationships/image" Target="../media/image45.pn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73" Type="http://schemas.openxmlformats.org/officeDocument/2006/relationships/image" Target="../media/image74.jpeg"/><Relationship Id="rId78" Type="http://schemas.openxmlformats.org/officeDocument/2006/relationships/image" Target="../media/image79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23.png"/><Relationship Id="rId130" Type="http://schemas.openxmlformats.org/officeDocument/2006/relationships/image" Target="../media/image131.jpeg"/><Relationship Id="rId135" Type="http://schemas.openxmlformats.org/officeDocument/2006/relationships/image" Target="../media/image136.png"/><Relationship Id="rId143" Type="http://schemas.openxmlformats.org/officeDocument/2006/relationships/image" Target="../media/image144.png"/><Relationship Id="rId148" Type="http://schemas.openxmlformats.org/officeDocument/2006/relationships/image" Target="../media/image149.jpeg"/><Relationship Id="rId151" Type="http://schemas.openxmlformats.org/officeDocument/2006/relationships/image" Target="../media/image152.png"/><Relationship Id="rId156" Type="http://schemas.openxmlformats.org/officeDocument/2006/relationships/image" Target="../media/image157.png"/><Relationship Id="rId164" Type="http://schemas.openxmlformats.org/officeDocument/2006/relationships/image" Target="../media/image165.jpeg"/><Relationship Id="rId169" Type="http://schemas.openxmlformats.org/officeDocument/2006/relationships/image" Target="../media/image170.jpeg"/><Relationship Id="rId177" Type="http://schemas.openxmlformats.org/officeDocument/2006/relationships/image" Target="../media/image178.pn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72" Type="http://schemas.openxmlformats.org/officeDocument/2006/relationships/image" Target="../media/image173.jpeg"/><Relationship Id="rId180" Type="http://schemas.openxmlformats.org/officeDocument/2006/relationships/image" Target="../media/image181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109" Type="http://schemas.openxmlformats.org/officeDocument/2006/relationships/image" Target="../media/image110.png"/><Relationship Id="rId34" Type="http://schemas.openxmlformats.org/officeDocument/2006/relationships/image" Target="../media/image35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76" Type="http://schemas.openxmlformats.org/officeDocument/2006/relationships/image" Target="../media/image77.jpe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png"/><Relationship Id="rId125" Type="http://schemas.openxmlformats.org/officeDocument/2006/relationships/image" Target="../media/image126.png"/><Relationship Id="rId141" Type="http://schemas.openxmlformats.org/officeDocument/2006/relationships/image" Target="../media/image142.png"/><Relationship Id="rId146" Type="http://schemas.openxmlformats.org/officeDocument/2006/relationships/image" Target="../media/image147.jpeg"/><Relationship Id="rId167" Type="http://schemas.openxmlformats.org/officeDocument/2006/relationships/image" Target="../media/image168.jpeg"/><Relationship Id="rId7" Type="http://schemas.openxmlformats.org/officeDocument/2006/relationships/image" Target="../media/image8.jpeg"/><Relationship Id="rId71" Type="http://schemas.openxmlformats.org/officeDocument/2006/relationships/image" Target="../media/image72.emf"/><Relationship Id="rId92" Type="http://schemas.openxmlformats.org/officeDocument/2006/relationships/image" Target="../media/image93.png"/><Relationship Id="rId162" Type="http://schemas.openxmlformats.org/officeDocument/2006/relationships/image" Target="../media/image163.pn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4" Type="http://schemas.openxmlformats.org/officeDocument/2006/relationships/image" Target="../media/image25.jpeg"/><Relationship Id="rId40" Type="http://schemas.openxmlformats.org/officeDocument/2006/relationships/image" Target="../media/image41.jpeg"/><Relationship Id="rId45" Type="http://schemas.openxmlformats.org/officeDocument/2006/relationships/image" Target="../media/image46.png"/><Relationship Id="rId66" Type="http://schemas.openxmlformats.org/officeDocument/2006/relationships/image" Target="../media/image67.pn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png"/><Relationship Id="rId131" Type="http://schemas.openxmlformats.org/officeDocument/2006/relationships/image" Target="../media/image132.png"/><Relationship Id="rId136" Type="http://schemas.openxmlformats.org/officeDocument/2006/relationships/image" Target="../media/image137.png"/><Relationship Id="rId157" Type="http://schemas.openxmlformats.org/officeDocument/2006/relationships/image" Target="../media/image158.png"/><Relationship Id="rId178" Type="http://schemas.openxmlformats.org/officeDocument/2006/relationships/image" Target="../media/image179.png"/><Relationship Id="rId61" Type="http://schemas.openxmlformats.org/officeDocument/2006/relationships/image" Target="../media/image62.jpeg"/><Relationship Id="rId82" Type="http://schemas.openxmlformats.org/officeDocument/2006/relationships/image" Target="../media/image83.png"/><Relationship Id="rId152" Type="http://schemas.openxmlformats.org/officeDocument/2006/relationships/image" Target="../media/image153.jpeg"/><Relationship Id="rId173" Type="http://schemas.openxmlformats.org/officeDocument/2006/relationships/image" Target="../media/image174.pn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30" Type="http://schemas.openxmlformats.org/officeDocument/2006/relationships/image" Target="../media/image31.jpeg"/><Relationship Id="rId35" Type="http://schemas.openxmlformats.org/officeDocument/2006/relationships/image" Target="../media/image36.pn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png"/><Relationship Id="rId105" Type="http://schemas.openxmlformats.org/officeDocument/2006/relationships/image" Target="../media/image106.jpeg"/><Relationship Id="rId126" Type="http://schemas.openxmlformats.org/officeDocument/2006/relationships/image" Target="../media/image127.png"/><Relationship Id="rId147" Type="http://schemas.openxmlformats.org/officeDocument/2006/relationships/image" Target="../media/image148.jpeg"/><Relationship Id="rId168" Type="http://schemas.openxmlformats.org/officeDocument/2006/relationships/image" Target="../media/image169.jpeg"/><Relationship Id="rId8" Type="http://schemas.openxmlformats.org/officeDocument/2006/relationships/image" Target="../media/image9.jpeg"/><Relationship Id="rId51" Type="http://schemas.openxmlformats.org/officeDocument/2006/relationships/image" Target="../media/image52.png"/><Relationship Id="rId72" Type="http://schemas.openxmlformats.org/officeDocument/2006/relationships/image" Target="../media/image73.jpe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142" Type="http://schemas.openxmlformats.org/officeDocument/2006/relationships/image" Target="../media/image143.png"/><Relationship Id="rId163" Type="http://schemas.openxmlformats.org/officeDocument/2006/relationships/image" Target="../media/image164.png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emf"/><Relationship Id="rId116" Type="http://schemas.openxmlformats.org/officeDocument/2006/relationships/image" Target="../media/image117.png"/><Relationship Id="rId137" Type="http://schemas.openxmlformats.org/officeDocument/2006/relationships/image" Target="../media/image138.png"/><Relationship Id="rId158" Type="http://schemas.openxmlformats.org/officeDocument/2006/relationships/image" Target="../media/image159.pn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33.png"/><Relationship Id="rId153" Type="http://schemas.openxmlformats.org/officeDocument/2006/relationships/image" Target="../media/image154.png"/><Relationship Id="rId174" Type="http://schemas.openxmlformats.org/officeDocument/2006/relationships/image" Target="../media/image175.png"/><Relationship Id="rId179" Type="http://schemas.openxmlformats.org/officeDocument/2006/relationships/image" Target="../media/image180.png"/><Relationship Id="rId15" Type="http://schemas.openxmlformats.org/officeDocument/2006/relationships/image" Target="../media/image16.jpeg"/><Relationship Id="rId36" Type="http://schemas.openxmlformats.org/officeDocument/2006/relationships/image" Target="../media/image37.png"/><Relationship Id="rId57" Type="http://schemas.openxmlformats.org/officeDocument/2006/relationships/image" Target="../media/image58.jpeg"/><Relationship Id="rId106" Type="http://schemas.openxmlformats.org/officeDocument/2006/relationships/image" Target="../media/image107.png"/><Relationship Id="rId127" Type="http://schemas.openxmlformats.org/officeDocument/2006/relationships/image" Target="../media/image12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9525</xdr:rowOff>
    </xdr:from>
    <xdr:to>
      <xdr:col>2</xdr:col>
      <xdr:colOff>1114425</xdr:colOff>
      <xdr:row>4</xdr:row>
      <xdr:rowOff>125730</xdr:rowOff>
    </xdr:to>
    <xdr:pic>
      <xdr:nvPicPr>
        <xdr:cNvPr id="2655" name="Picture 383" descr="123">
          <a:extLst>
            <a:ext uri="{FF2B5EF4-FFF2-40B4-BE49-F238E27FC236}">
              <a16:creationId xmlns:a16="http://schemas.microsoft.com/office/drawing/2014/main" xmlns="" id="{00000000-0008-0000-0000-00005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827"/>
        <a:stretch>
          <a:fillRect/>
        </a:stretch>
      </xdr:blipFill>
      <xdr:spPr bwMode="auto">
        <a:xfrm>
          <a:off x="85725" y="209550"/>
          <a:ext cx="1543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165</xdr:row>
      <xdr:rowOff>47625</xdr:rowOff>
    </xdr:from>
    <xdr:to>
      <xdr:col>2</xdr:col>
      <xdr:colOff>581025</xdr:colOff>
      <xdr:row>165</xdr:row>
      <xdr:rowOff>400050</xdr:rowOff>
    </xdr:to>
    <xdr:pic>
      <xdr:nvPicPr>
        <xdr:cNvPr id="117553" name="Picture 4" descr="Geometriya_1">
          <a:extLst>
            <a:ext uri="{FF2B5EF4-FFF2-40B4-BE49-F238E27FC236}">
              <a16:creationId xmlns:a16="http://schemas.microsoft.com/office/drawing/2014/main" xmlns="" id="{00000000-0008-0000-0100-000031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7875" y="59140725"/>
          <a:ext cx="1619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166</xdr:row>
      <xdr:rowOff>28575</xdr:rowOff>
    </xdr:from>
    <xdr:to>
      <xdr:col>2</xdr:col>
      <xdr:colOff>371475</xdr:colOff>
      <xdr:row>166</xdr:row>
      <xdr:rowOff>400050</xdr:rowOff>
    </xdr:to>
    <xdr:pic>
      <xdr:nvPicPr>
        <xdr:cNvPr id="117554" name="Picture 8" descr="Geometriya_3">
          <a:extLst>
            <a:ext uri="{FF2B5EF4-FFF2-40B4-BE49-F238E27FC236}">
              <a16:creationId xmlns:a16="http://schemas.microsoft.com/office/drawing/2014/main" xmlns="" id="{00000000-0008-0000-0100-000032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59559825"/>
          <a:ext cx="171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166</xdr:row>
      <xdr:rowOff>28575</xdr:rowOff>
    </xdr:from>
    <xdr:to>
      <xdr:col>2</xdr:col>
      <xdr:colOff>581025</xdr:colOff>
      <xdr:row>166</xdr:row>
      <xdr:rowOff>400050</xdr:rowOff>
    </xdr:to>
    <xdr:pic>
      <xdr:nvPicPr>
        <xdr:cNvPr id="117555" name="Picture 9" descr="Geometriya_3">
          <a:extLst>
            <a:ext uri="{FF2B5EF4-FFF2-40B4-BE49-F238E27FC236}">
              <a16:creationId xmlns:a16="http://schemas.microsoft.com/office/drawing/2014/main" xmlns="" id="{00000000-0008-0000-0100-000033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38350" y="59559825"/>
          <a:ext cx="171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167</xdr:row>
      <xdr:rowOff>28575</xdr:rowOff>
    </xdr:from>
    <xdr:to>
      <xdr:col>2</xdr:col>
      <xdr:colOff>371475</xdr:colOff>
      <xdr:row>167</xdr:row>
      <xdr:rowOff>419100</xdr:rowOff>
    </xdr:to>
    <xdr:pic>
      <xdr:nvPicPr>
        <xdr:cNvPr id="117556" name="Picture 10" descr="Geometriya_4">
          <a:extLst>
            <a:ext uri="{FF2B5EF4-FFF2-40B4-BE49-F238E27FC236}">
              <a16:creationId xmlns:a16="http://schemas.microsoft.com/office/drawing/2014/main" xmlns="" id="{00000000-0008-0000-0100-000034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19275" y="5999797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167</xdr:row>
      <xdr:rowOff>28575</xdr:rowOff>
    </xdr:from>
    <xdr:to>
      <xdr:col>2</xdr:col>
      <xdr:colOff>581025</xdr:colOff>
      <xdr:row>167</xdr:row>
      <xdr:rowOff>419100</xdr:rowOff>
    </xdr:to>
    <xdr:pic>
      <xdr:nvPicPr>
        <xdr:cNvPr id="117557" name="Picture 11" descr="Geometriya_4">
          <a:extLst>
            <a:ext uri="{FF2B5EF4-FFF2-40B4-BE49-F238E27FC236}">
              <a16:creationId xmlns:a16="http://schemas.microsoft.com/office/drawing/2014/main" xmlns="" id="{00000000-0008-0000-0100-000035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28825" y="5999797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168</xdr:row>
      <xdr:rowOff>28575</xdr:rowOff>
    </xdr:from>
    <xdr:to>
      <xdr:col>2</xdr:col>
      <xdr:colOff>371475</xdr:colOff>
      <xdr:row>168</xdr:row>
      <xdr:rowOff>419100</xdr:rowOff>
    </xdr:to>
    <xdr:pic>
      <xdr:nvPicPr>
        <xdr:cNvPr id="117558" name="Picture 12" descr="Geometriya_5">
          <a:extLst>
            <a:ext uri="{FF2B5EF4-FFF2-40B4-BE49-F238E27FC236}">
              <a16:creationId xmlns:a16="http://schemas.microsoft.com/office/drawing/2014/main" xmlns="" id="{00000000-0008-0000-0100-000036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19275" y="6043612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168</xdr:row>
      <xdr:rowOff>28575</xdr:rowOff>
    </xdr:from>
    <xdr:to>
      <xdr:col>2</xdr:col>
      <xdr:colOff>581025</xdr:colOff>
      <xdr:row>168</xdr:row>
      <xdr:rowOff>419100</xdr:rowOff>
    </xdr:to>
    <xdr:pic>
      <xdr:nvPicPr>
        <xdr:cNvPr id="117559" name="Picture 13" descr="Geometriya_5">
          <a:extLst>
            <a:ext uri="{FF2B5EF4-FFF2-40B4-BE49-F238E27FC236}">
              <a16:creationId xmlns:a16="http://schemas.microsoft.com/office/drawing/2014/main" xmlns="" id="{00000000-0008-0000-0100-000037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28825" y="6043612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169</xdr:row>
      <xdr:rowOff>28575</xdr:rowOff>
    </xdr:from>
    <xdr:to>
      <xdr:col>2</xdr:col>
      <xdr:colOff>371475</xdr:colOff>
      <xdr:row>169</xdr:row>
      <xdr:rowOff>419100</xdr:rowOff>
    </xdr:to>
    <xdr:pic>
      <xdr:nvPicPr>
        <xdr:cNvPr id="117560" name="Picture 14" descr="Geometriya_6">
          <a:extLst>
            <a:ext uri="{FF2B5EF4-FFF2-40B4-BE49-F238E27FC236}">
              <a16:creationId xmlns:a16="http://schemas.microsoft.com/office/drawing/2014/main" xmlns="" id="{00000000-0008-0000-0100-000038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9275" y="6087427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169</xdr:row>
      <xdr:rowOff>28575</xdr:rowOff>
    </xdr:from>
    <xdr:to>
      <xdr:col>2</xdr:col>
      <xdr:colOff>581025</xdr:colOff>
      <xdr:row>169</xdr:row>
      <xdr:rowOff>419100</xdr:rowOff>
    </xdr:to>
    <xdr:pic>
      <xdr:nvPicPr>
        <xdr:cNvPr id="117561" name="Picture 15" descr="Geometriya_6">
          <a:extLst>
            <a:ext uri="{FF2B5EF4-FFF2-40B4-BE49-F238E27FC236}">
              <a16:creationId xmlns:a16="http://schemas.microsoft.com/office/drawing/2014/main" xmlns="" id="{00000000-0008-0000-0100-000039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28825" y="6087427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291</xdr:row>
      <xdr:rowOff>38100</xdr:rowOff>
    </xdr:from>
    <xdr:to>
      <xdr:col>2</xdr:col>
      <xdr:colOff>466725</xdr:colOff>
      <xdr:row>291</xdr:row>
      <xdr:rowOff>419100</xdr:rowOff>
    </xdr:to>
    <xdr:pic>
      <xdr:nvPicPr>
        <xdr:cNvPr id="117569" name="Picture 70" descr="Idea_1">
          <a:extLst>
            <a:ext uri="{FF2B5EF4-FFF2-40B4-BE49-F238E27FC236}">
              <a16:creationId xmlns:a16="http://schemas.microsoft.com/office/drawing/2014/main" xmlns="" id="{00000000-0008-0000-0100-000041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33575" y="88144350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292</xdr:row>
      <xdr:rowOff>47625</xdr:rowOff>
    </xdr:from>
    <xdr:to>
      <xdr:col>2</xdr:col>
      <xdr:colOff>361950</xdr:colOff>
      <xdr:row>292</xdr:row>
      <xdr:rowOff>419100</xdr:rowOff>
    </xdr:to>
    <xdr:pic>
      <xdr:nvPicPr>
        <xdr:cNvPr id="117570" name="Picture 71" descr="Idea_3">
          <a:extLst>
            <a:ext uri="{FF2B5EF4-FFF2-40B4-BE49-F238E27FC236}">
              <a16:creationId xmlns:a16="http://schemas.microsoft.com/office/drawing/2014/main" xmlns="" id="{00000000-0008-0000-0100-000042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19275" y="88592025"/>
          <a:ext cx="171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292</xdr:row>
      <xdr:rowOff>47625</xdr:rowOff>
    </xdr:from>
    <xdr:to>
      <xdr:col>2</xdr:col>
      <xdr:colOff>581025</xdr:colOff>
      <xdr:row>292</xdr:row>
      <xdr:rowOff>419100</xdr:rowOff>
    </xdr:to>
    <xdr:pic>
      <xdr:nvPicPr>
        <xdr:cNvPr id="117571" name="Picture 72" descr="Idea_3">
          <a:extLst>
            <a:ext uri="{FF2B5EF4-FFF2-40B4-BE49-F238E27FC236}">
              <a16:creationId xmlns:a16="http://schemas.microsoft.com/office/drawing/2014/main" xmlns="" id="{00000000-0008-0000-0100-000043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47875" y="88592025"/>
          <a:ext cx="161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1124</xdr:row>
      <xdr:rowOff>28575</xdr:rowOff>
    </xdr:from>
    <xdr:to>
      <xdr:col>2</xdr:col>
      <xdr:colOff>381000</xdr:colOff>
      <xdr:row>1124</xdr:row>
      <xdr:rowOff>400050</xdr:rowOff>
    </xdr:to>
    <xdr:pic>
      <xdr:nvPicPr>
        <xdr:cNvPr id="117572" name="Picture 85" descr="Lada-Concept_2">
          <a:extLst>
            <a:ext uri="{FF2B5EF4-FFF2-40B4-BE49-F238E27FC236}">
              <a16:creationId xmlns:a16="http://schemas.microsoft.com/office/drawing/2014/main" xmlns="" id="{00000000-0008-0000-0100-000044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38325" y="192538350"/>
          <a:ext cx="171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1124</xdr:row>
      <xdr:rowOff>28575</xdr:rowOff>
    </xdr:from>
    <xdr:to>
      <xdr:col>2</xdr:col>
      <xdr:colOff>590550</xdr:colOff>
      <xdr:row>1124</xdr:row>
      <xdr:rowOff>400050</xdr:rowOff>
    </xdr:to>
    <xdr:pic>
      <xdr:nvPicPr>
        <xdr:cNvPr id="117573" name="Picture 86" descr="Lada-Concept_2">
          <a:extLst>
            <a:ext uri="{FF2B5EF4-FFF2-40B4-BE49-F238E27FC236}">
              <a16:creationId xmlns:a16="http://schemas.microsoft.com/office/drawing/2014/main" xmlns="" id="{00000000-0008-0000-0100-000045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057400" y="192538350"/>
          <a:ext cx="161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1738</xdr:row>
      <xdr:rowOff>38100</xdr:rowOff>
    </xdr:from>
    <xdr:to>
      <xdr:col>2</xdr:col>
      <xdr:colOff>476250</xdr:colOff>
      <xdr:row>1738</xdr:row>
      <xdr:rowOff>419100</xdr:rowOff>
    </xdr:to>
    <xdr:pic>
      <xdr:nvPicPr>
        <xdr:cNvPr id="117574" name="Picture 93" descr="Lineya_1">
          <a:extLst>
            <a:ext uri="{FF2B5EF4-FFF2-40B4-BE49-F238E27FC236}">
              <a16:creationId xmlns:a16="http://schemas.microsoft.com/office/drawing/2014/main" xmlns="" id="{00000000-0008-0000-0100-000046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43100" y="328374375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1739</xdr:row>
      <xdr:rowOff>38100</xdr:rowOff>
    </xdr:from>
    <xdr:to>
      <xdr:col>2</xdr:col>
      <xdr:colOff>485775</xdr:colOff>
      <xdr:row>1739</xdr:row>
      <xdr:rowOff>419100</xdr:rowOff>
    </xdr:to>
    <xdr:pic>
      <xdr:nvPicPr>
        <xdr:cNvPr id="117575" name="Picture 96" descr="Lineya_3">
          <a:extLst>
            <a:ext uri="{FF2B5EF4-FFF2-40B4-BE49-F238E27FC236}">
              <a16:creationId xmlns:a16="http://schemas.microsoft.com/office/drawing/2014/main" xmlns="" id="{00000000-0008-0000-0100-000047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52625" y="328812525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1740</xdr:row>
      <xdr:rowOff>38100</xdr:rowOff>
    </xdr:from>
    <xdr:to>
      <xdr:col>2</xdr:col>
      <xdr:colOff>495300</xdr:colOff>
      <xdr:row>1740</xdr:row>
      <xdr:rowOff>419100</xdr:rowOff>
    </xdr:to>
    <xdr:pic>
      <xdr:nvPicPr>
        <xdr:cNvPr id="117576" name="Picture 97" descr="Lineya_4">
          <a:extLst>
            <a:ext uri="{FF2B5EF4-FFF2-40B4-BE49-F238E27FC236}">
              <a16:creationId xmlns:a16="http://schemas.microsoft.com/office/drawing/2014/main" xmlns="" id="{00000000-0008-0000-0100-000048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52625" y="32925067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1811</xdr:row>
      <xdr:rowOff>38100</xdr:rowOff>
    </xdr:from>
    <xdr:to>
      <xdr:col>2</xdr:col>
      <xdr:colOff>485775</xdr:colOff>
      <xdr:row>1811</xdr:row>
      <xdr:rowOff>419100</xdr:rowOff>
    </xdr:to>
    <xdr:pic>
      <xdr:nvPicPr>
        <xdr:cNvPr id="117577" name="Picture 99" descr="Layn_1">
          <a:extLst>
            <a:ext uri="{FF2B5EF4-FFF2-40B4-BE49-F238E27FC236}">
              <a16:creationId xmlns:a16="http://schemas.microsoft.com/office/drawing/2014/main" xmlns="" id="{00000000-0008-0000-0100-000049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52625" y="341442675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1812</xdr:row>
      <xdr:rowOff>38100</xdr:rowOff>
    </xdr:from>
    <xdr:to>
      <xdr:col>2</xdr:col>
      <xdr:colOff>495300</xdr:colOff>
      <xdr:row>1812</xdr:row>
      <xdr:rowOff>419100</xdr:rowOff>
    </xdr:to>
    <xdr:pic>
      <xdr:nvPicPr>
        <xdr:cNvPr id="117578" name="Picture 100" descr="Layn_2">
          <a:extLst>
            <a:ext uri="{FF2B5EF4-FFF2-40B4-BE49-F238E27FC236}">
              <a16:creationId xmlns:a16="http://schemas.microsoft.com/office/drawing/2014/main" xmlns="" id="{00000000-0008-0000-0100-00004A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52625" y="34188082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1813</xdr:row>
      <xdr:rowOff>47625</xdr:rowOff>
    </xdr:from>
    <xdr:to>
      <xdr:col>2</xdr:col>
      <xdr:colOff>495300</xdr:colOff>
      <xdr:row>1813</xdr:row>
      <xdr:rowOff>419100</xdr:rowOff>
    </xdr:to>
    <xdr:pic>
      <xdr:nvPicPr>
        <xdr:cNvPr id="117579" name="Picture 101" descr="Layn_3">
          <a:extLst>
            <a:ext uri="{FF2B5EF4-FFF2-40B4-BE49-F238E27FC236}">
              <a16:creationId xmlns:a16="http://schemas.microsoft.com/office/drawing/2014/main" xmlns="" id="{00000000-0008-0000-0100-00004B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52625" y="342328500"/>
          <a:ext cx="171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1814</xdr:row>
      <xdr:rowOff>38100</xdr:rowOff>
    </xdr:from>
    <xdr:to>
      <xdr:col>2</xdr:col>
      <xdr:colOff>495300</xdr:colOff>
      <xdr:row>1814</xdr:row>
      <xdr:rowOff>419100</xdr:rowOff>
    </xdr:to>
    <xdr:pic>
      <xdr:nvPicPr>
        <xdr:cNvPr id="117580" name="Picture 102" descr="Layn_4">
          <a:extLst>
            <a:ext uri="{FF2B5EF4-FFF2-40B4-BE49-F238E27FC236}">
              <a16:creationId xmlns:a16="http://schemas.microsoft.com/office/drawing/2014/main" xmlns="" id="{00000000-0008-0000-0100-00004C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52625" y="34275712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1815</xdr:row>
      <xdr:rowOff>47625</xdr:rowOff>
    </xdr:from>
    <xdr:to>
      <xdr:col>2</xdr:col>
      <xdr:colOff>495300</xdr:colOff>
      <xdr:row>1815</xdr:row>
      <xdr:rowOff>419100</xdr:rowOff>
    </xdr:to>
    <xdr:pic>
      <xdr:nvPicPr>
        <xdr:cNvPr id="117581" name="Picture 103" descr="Layn_5">
          <a:extLst>
            <a:ext uri="{FF2B5EF4-FFF2-40B4-BE49-F238E27FC236}">
              <a16:creationId xmlns:a16="http://schemas.microsoft.com/office/drawing/2014/main" xmlns="" id="{00000000-0008-0000-0100-00004D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52625" y="343204800"/>
          <a:ext cx="171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1888</xdr:row>
      <xdr:rowOff>28575</xdr:rowOff>
    </xdr:from>
    <xdr:to>
      <xdr:col>2</xdr:col>
      <xdr:colOff>495300</xdr:colOff>
      <xdr:row>1888</xdr:row>
      <xdr:rowOff>400050</xdr:rowOff>
    </xdr:to>
    <xdr:pic>
      <xdr:nvPicPr>
        <xdr:cNvPr id="117582" name="Picture 105" descr="Elegant_1">
          <a:extLst>
            <a:ext uri="{FF2B5EF4-FFF2-40B4-BE49-F238E27FC236}">
              <a16:creationId xmlns:a16="http://schemas.microsoft.com/office/drawing/2014/main" xmlns="" id="{00000000-0008-0000-0100-00004E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62150" y="356387400"/>
          <a:ext cx="161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1889</xdr:row>
      <xdr:rowOff>28575</xdr:rowOff>
    </xdr:from>
    <xdr:to>
      <xdr:col>2</xdr:col>
      <xdr:colOff>504825</xdr:colOff>
      <xdr:row>1889</xdr:row>
      <xdr:rowOff>419100</xdr:rowOff>
    </xdr:to>
    <xdr:pic>
      <xdr:nvPicPr>
        <xdr:cNvPr id="117583" name="Picture 106" descr="Elegant_2">
          <a:extLst>
            <a:ext uri="{FF2B5EF4-FFF2-40B4-BE49-F238E27FC236}">
              <a16:creationId xmlns:a16="http://schemas.microsoft.com/office/drawing/2014/main" xmlns="" id="{00000000-0008-0000-0100-00004F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52625" y="356825550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1890</xdr:row>
      <xdr:rowOff>28575</xdr:rowOff>
    </xdr:from>
    <xdr:to>
      <xdr:col>2</xdr:col>
      <xdr:colOff>504825</xdr:colOff>
      <xdr:row>1890</xdr:row>
      <xdr:rowOff>419100</xdr:rowOff>
    </xdr:to>
    <xdr:pic>
      <xdr:nvPicPr>
        <xdr:cNvPr id="117584" name="Picture 107" descr="Elegant_3">
          <a:extLst>
            <a:ext uri="{FF2B5EF4-FFF2-40B4-BE49-F238E27FC236}">
              <a16:creationId xmlns:a16="http://schemas.microsoft.com/office/drawing/2014/main" xmlns="" id="{00000000-0008-0000-0100-000050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52625" y="357263700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1891</xdr:row>
      <xdr:rowOff>28575</xdr:rowOff>
    </xdr:from>
    <xdr:to>
      <xdr:col>2</xdr:col>
      <xdr:colOff>504825</xdr:colOff>
      <xdr:row>1891</xdr:row>
      <xdr:rowOff>419100</xdr:rowOff>
    </xdr:to>
    <xdr:pic>
      <xdr:nvPicPr>
        <xdr:cNvPr id="117585" name="Picture 108" descr="Elegant_4">
          <a:extLst>
            <a:ext uri="{FF2B5EF4-FFF2-40B4-BE49-F238E27FC236}">
              <a16:creationId xmlns:a16="http://schemas.microsoft.com/office/drawing/2014/main" xmlns="" id="{00000000-0008-0000-0100-000051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52625" y="357701850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1892</xdr:row>
      <xdr:rowOff>28575</xdr:rowOff>
    </xdr:from>
    <xdr:to>
      <xdr:col>2</xdr:col>
      <xdr:colOff>504825</xdr:colOff>
      <xdr:row>1892</xdr:row>
      <xdr:rowOff>419100</xdr:rowOff>
    </xdr:to>
    <xdr:pic>
      <xdr:nvPicPr>
        <xdr:cNvPr id="117586" name="Picture 109" descr="Elegant_5">
          <a:extLst>
            <a:ext uri="{FF2B5EF4-FFF2-40B4-BE49-F238E27FC236}">
              <a16:creationId xmlns:a16="http://schemas.microsoft.com/office/drawing/2014/main" xmlns="" id="{00000000-0008-0000-0100-000052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52625" y="358140000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92</xdr:row>
      <xdr:rowOff>25853</xdr:rowOff>
    </xdr:from>
    <xdr:to>
      <xdr:col>2</xdr:col>
      <xdr:colOff>361950</xdr:colOff>
      <xdr:row>92</xdr:row>
      <xdr:rowOff>402771</xdr:rowOff>
    </xdr:to>
    <xdr:pic>
      <xdr:nvPicPr>
        <xdr:cNvPr id="117591" name="Picture 284" descr="Kupava_3">
          <a:extLst>
            <a:ext uri="{FF2B5EF4-FFF2-40B4-BE49-F238E27FC236}">
              <a16:creationId xmlns:a16="http://schemas.microsoft.com/office/drawing/2014/main" xmlns="" id="{00000000-0008-0000-0100-000057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817914" y="17029339"/>
          <a:ext cx="171450" cy="376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435428</xdr:colOff>
      <xdr:row>92</xdr:row>
      <xdr:rowOff>38101</xdr:rowOff>
    </xdr:from>
    <xdr:to>
      <xdr:col>2</xdr:col>
      <xdr:colOff>597353</xdr:colOff>
      <xdr:row>92</xdr:row>
      <xdr:rowOff>409576</xdr:rowOff>
    </xdr:to>
    <xdr:pic>
      <xdr:nvPicPr>
        <xdr:cNvPr id="117592" name="Picture 285" descr="Kupava_3">
          <a:extLst>
            <a:ext uri="{FF2B5EF4-FFF2-40B4-BE49-F238E27FC236}">
              <a16:creationId xmlns:a16="http://schemas.microsoft.com/office/drawing/2014/main" xmlns="" id="{00000000-0008-0000-0100-000058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062842" y="17041587"/>
          <a:ext cx="161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93</xdr:row>
      <xdr:rowOff>38100</xdr:rowOff>
    </xdr:from>
    <xdr:to>
      <xdr:col>2</xdr:col>
      <xdr:colOff>361950</xdr:colOff>
      <xdr:row>93</xdr:row>
      <xdr:rowOff>409575</xdr:rowOff>
    </xdr:to>
    <xdr:pic>
      <xdr:nvPicPr>
        <xdr:cNvPr id="117593" name="Picture 286" descr="Kupava_4">
          <a:extLst>
            <a:ext uri="{FF2B5EF4-FFF2-40B4-BE49-F238E27FC236}">
              <a16:creationId xmlns:a16="http://schemas.microsoft.com/office/drawing/2014/main" xmlns="" id="{00000000-0008-0000-0100-000059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828800" y="18354675"/>
          <a:ext cx="161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93</xdr:row>
      <xdr:rowOff>38100</xdr:rowOff>
    </xdr:from>
    <xdr:to>
      <xdr:col>2</xdr:col>
      <xdr:colOff>581025</xdr:colOff>
      <xdr:row>93</xdr:row>
      <xdr:rowOff>409575</xdr:rowOff>
    </xdr:to>
    <xdr:pic>
      <xdr:nvPicPr>
        <xdr:cNvPr id="117594" name="Picture 287" descr="Kupava_4">
          <a:extLst>
            <a:ext uri="{FF2B5EF4-FFF2-40B4-BE49-F238E27FC236}">
              <a16:creationId xmlns:a16="http://schemas.microsoft.com/office/drawing/2014/main" xmlns="" id="{00000000-0008-0000-0100-00005A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047875" y="18354675"/>
          <a:ext cx="161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165</xdr:row>
      <xdr:rowOff>47625</xdr:rowOff>
    </xdr:from>
    <xdr:to>
      <xdr:col>2</xdr:col>
      <xdr:colOff>361950</xdr:colOff>
      <xdr:row>165</xdr:row>
      <xdr:rowOff>400050</xdr:rowOff>
    </xdr:to>
    <xdr:pic>
      <xdr:nvPicPr>
        <xdr:cNvPr id="117608" name="Picture 338" descr="Geometriya_1">
          <a:extLst>
            <a:ext uri="{FF2B5EF4-FFF2-40B4-BE49-F238E27FC236}">
              <a16:creationId xmlns:a16="http://schemas.microsoft.com/office/drawing/2014/main" xmlns="" id="{00000000-0008-0000-0100-000068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828800" y="59140725"/>
          <a:ext cx="1619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1963</xdr:row>
      <xdr:rowOff>28575</xdr:rowOff>
    </xdr:from>
    <xdr:to>
      <xdr:col>2</xdr:col>
      <xdr:colOff>514350</xdr:colOff>
      <xdr:row>1963</xdr:row>
      <xdr:rowOff>419100</xdr:rowOff>
    </xdr:to>
    <xdr:pic>
      <xdr:nvPicPr>
        <xdr:cNvPr id="117609" name="Picture 435">
          <a:extLst>
            <a:ext uri="{FF2B5EF4-FFF2-40B4-BE49-F238E27FC236}">
              <a16:creationId xmlns:a16="http://schemas.microsoft.com/office/drawing/2014/main" xmlns="" id="{00000000-0008-0000-0100-000069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62150" y="370884450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1964</xdr:row>
      <xdr:rowOff>28575</xdr:rowOff>
    </xdr:from>
    <xdr:to>
      <xdr:col>2</xdr:col>
      <xdr:colOff>514350</xdr:colOff>
      <xdr:row>1964</xdr:row>
      <xdr:rowOff>419100</xdr:rowOff>
    </xdr:to>
    <xdr:pic>
      <xdr:nvPicPr>
        <xdr:cNvPr id="117610" name="Picture 436">
          <a:extLst>
            <a:ext uri="{FF2B5EF4-FFF2-40B4-BE49-F238E27FC236}">
              <a16:creationId xmlns:a16="http://schemas.microsoft.com/office/drawing/2014/main" xmlns="" id="{00000000-0008-0000-0100-00006A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62150" y="371322600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1965</xdr:row>
      <xdr:rowOff>19050</xdr:rowOff>
    </xdr:from>
    <xdr:to>
      <xdr:col>2</xdr:col>
      <xdr:colOff>514350</xdr:colOff>
      <xdr:row>1965</xdr:row>
      <xdr:rowOff>409575</xdr:rowOff>
    </xdr:to>
    <xdr:pic>
      <xdr:nvPicPr>
        <xdr:cNvPr id="117611" name="Picture 437">
          <a:extLst>
            <a:ext uri="{FF2B5EF4-FFF2-40B4-BE49-F238E27FC236}">
              <a16:creationId xmlns:a16="http://schemas.microsoft.com/office/drawing/2014/main" xmlns="" id="{00000000-0008-0000-0100-00006B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62150" y="37175122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1966</xdr:row>
      <xdr:rowOff>19050</xdr:rowOff>
    </xdr:from>
    <xdr:to>
      <xdr:col>2</xdr:col>
      <xdr:colOff>514350</xdr:colOff>
      <xdr:row>1966</xdr:row>
      <xdr:rowOff>409575</xdr:rowOff>
    </xdr:to>
    <xdr:pic>
      <xdr:nvPicPr>
        <xdr:cNvPr id="117612" name="Picture 438">
          <a:extLst>
            <a:ext uri="{FF2B5EF4-FFF2-40B4-BE49-F238E27FC236}">
              <a16:creationId xmlns:a16="http://schemas.microsoft.com/office/drawing/2014/main" xmlns="" id="{00000000-0008-0000-0100-00006C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62150" y="37218937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1967</xdr:row>
      <xdr:rowOff>19050</xdr:rowOff>
    </xdr:from>
    <xdr:to>
      <xdr:col>2</xdr:col>
      <xdr:colOff>514350</xdr:colOff>
      <xdr:row>1967</xdr:row>
      <xdr:rowOff>409575</xdr:rowOff>
    </xdr:to>
    <xdr:pic>
      <xdr:nvPicPr>
        <xdr:cNvPr id="117613" name="Picture 439">
          <a:extLst>
            <a:ext uri="{FF2B5EF4-FFF2-40B4-BE49-F238E27FC236}">
              <a16:creationId xmlns:a16="http://schemas.microsoft.com/office/drawing/2014/main" xmlns="" id="{00000000-0008-0000-0100-00006D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62150" y="37262752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2098</xdr:row>
      <xdr:rowOff>38100</xdr:rowOff>
    </xdr:from>
    <xdr:to>
      <xdr:col>2</xdr:col>
      <xdr:colOff>466725</xdr:colOff>
      <xdr:row>2098</xdr:row>
      <xdr:rowOff>419100</xdr:rowOff>
    </xdr:to>
    <xdr:pic>
      <xdr:nvPicPr>
        <xdr:cNvPr id="117614" name="Picture 468" descr="Dobor_A">
          <a:extLst>
            <a:ext uri="{FF2B5EF4-FFF2-40B4-BE49-F238E27FC236}">
              <a16:creationId xmlns:a16="http://schemas.microsoft.com/office/drawing/2014/main" xmlns="" id="{00000000-0008-0000-0100-00006E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81200" y="397211550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2099</xdr:row>
      <xdr:rowOff>38100</xdr:rowOff>
    </xdr:from>
    <xdr:to>
      <xdr:col>2</xdr:col>
      <xdr:colOff>466725</xdr:colOff>
      <xdr:row>2099</xdr:row>
      <xdr:rowOff>419100</xdr:rowOff>
    </xdr:to>
    <xdr:pic>
      <xdr:nvPicPr>
        <xdr:cNvPr id="117615" name="Picture 469" descr="Dobor_B">
          <a:extLst>
            <a:ext uri="{FF2B5EF4-FFF2-40B4-BE49-F238E27FC236}">
              <a16:creationId xmlns:a16="http://schemas.microsoft.com/office/drawing/2014/main" xmlns="" id="{00000000-0008-0000-0100-00006F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81200" y="397649700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293</xdr:row>
      <xdr:rowOff>38100</xdr:rowOff>
    </xdr:from>
    <xdr:to>
      <xdr:col>2</xdr:col>
      <xdr:colOff>361950</xdr:colOff>
      <xdr:row>293</xdr:row>
      <xdr:rowOff>419100</xdr:rowOff>
    </xdr:to>
    <xdr:pic>
      <xdr:nvPicPr>
        <xdr:cNvPr id="117616" name="Picture 509" descr="Idea_4">
          <a:extLst>
            <a:ext uri="{FF2B5EF4-FFF2-40B4-BE49-F238E27FC236}">
              <a16:creationId xmlns:a16="http://schemas.microsoft.com/office/drawing/2014/main" xmlns="" id="{00000000-0008-0000-0100-000070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828800" y="89020650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293</xdr:row>
      <xdr:rowOff>38100</xdr:rowOff>
    </xdr:from>
    <xdr:to>
      <xdr:col>2</xdr:col>
      <xdr:colOff>581025</xdr:colOff>
      <xdr:row>293</xdr:row>
      <xdr:rowOff>419100</xdr:rowOff>
    </xdr:to>
    <xdr:pic>
      <xdr:nvPicPr>
        <xdr:cNvPr id="117617" name="Picture 510" descr="Idea_4">
          <a:extLst>
            <a:ext uri="{FF2B5EF4-FFF2-40B4-BE49-F238E27FC236}">
              <a16:creationId xmlns:a16="http://schemas.microsoft.com/office/drawing/2014/main" xmlns="" id="{00000000-0008-0000-0100-000071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047875" y="89020650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294</xdr:row>
      <xdr:rowOff>19050</xdr:rowOff>
    </xdr:from>
    <xdr:to>
      <xdr:col>2</xdr:col>
      <xdr:colOff>381000</xdr:colOff>
      <xdr:row>294</xdr:row>
      <xdr:rowOff>419100</xdr:rowOff>
    </xdr:to>
    <xdr:pic>
      <xdr:nvPicPr>
        <xdr:cNvPr id="117618" name="Picture 513">
          <a:extLst>
            <a:ext uri="{FF2B5EF4-FFF2-40B4-BE49-F238E27FC236}">
              <a16:creationId xmlns:a16="http://schemas.microsoft.com/office/drawing/2014/main" xmlns="" id="{00000000-0008-0000-0100-000072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828800" y="89439750"/>
          <a:ext cx="180975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294</xdr:row>
      <xdr:rowOff>28575</xdr:rowOff>
    </xdr:from>
    <xdr:to>
      <xdr:col>2</xdr:col>
      <xdr:colOff>590550</xdr:colOff>
      <xdr:row>294</xdr:row>
      <xdr:rowOff>419100</xdr:rowOff>
    </xdr:to>
    <xdr:pic>
      <xdr:nvPicPr>
        <xdr:cNvPr id="117619" name="Picture 514">
          <a:extLst>
            <a:ext uri="{FF2B5EF4-FFF2-40B4-BE49-F238E27FC236}">
              <a16:creationId xmlns:a16="http://schemas.microsoft.com/office/drawing/2014/main" xmlns="" id="{00000000-0008-0000-0100-000073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047875" y="89449275"/>
          <a:ext cx="17145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295</xdr:row>
      <xdr:rowOff>19050</xdr:rowOff>
    </xdr:from>
    <xdr:to>
      <xdr:col>2</xdr:col>
      <xdr:colOff>371475</xdr:colOff>
      <xdr:row>296</xdr:row>
      <xdr:rowOff>4677</xdr:rowOff>
    </xdr:to>
    <xdr:pic>
      <xdr:nvPicPr>
        <xdr:cNvPr id="117620" name="Picture 515">
          <a:extLst>
            <a:ext uri="{FF2B5EF4-FFF2-40B4-BE49-F238E27FC236}">
              <a16:creationId xmlns:a16="http://schemas.microsoft.com/office/drawing/2014/main" xmlns="" id="{00000000-0008-0000-0100-000074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19275" y="89877900"/>
          <a:ext cx="180975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295</xdr:row>
      <xdr:rowOff>19050</xdr:rowOff>
    </xdr:from>
    <xdr:to>
      <xdr:col>2</xdr:col>
      <xdr:colOff>590550</xdr:colOff>
      <xdr:row>296</xdr:row>
      <xdr:rowOff>4677</xdr:rowOff>
    </xdr:to>
    <xdr:pic>
      <xdr:nvPicPr>
        <xdr:cNvPr id="117621" name="Picture 518">
          <a:extLst>
            <a:ext uri="{FF2B5EF4-FFF2-40B4-BE49-F238E27FC236}">
              <a16:creationId xmlns:a16="http://schemas.microsoft.com/office/drawing/2014/main" xmlns="" id="{00000000-0008-0000-0100-000075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038350" y="89877900"/>
          <a:ext cx="180975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1125</xdr:row>
      <xdr:rowOff>38100</xdr:rowOff>
    </xdr:from>
    <xdr:to>
      <xdr:col>2</xdr:col>
      <xdr:colOff>371475</xdr:colOff>
      <xdr:row>1125</xdr:row>
      <xdr:rowOff>419100</xdr:rowOff>
    </xdr:to>
    <xdr:pic>
      <xdr:nvPicPr>
        <xdr:cNvPr id="117622" name="Picture 524" descr="Lada-Concept_3">
          <a:extLst>
            <a:ext uri="{FF2B5EF4-FFF2-40B4-BE49-F238E27FC236}">
              <a16:creationId xmlns:a16="http://schemas.microsoft.com/office/drawing/2014/main" xmlns="" id="{00000000-0008-0000-0100-000076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838325" y="192986025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1125</xdr:row>
      <xdr:rowOff>38100</xdr:rowOff>
    </xdr:from>
    <xdr:to>
      <xdr:col>2</xdr:col>
      <xdr:colOff>590550</xdr:colOff>
      <xdr:row>1125</xdr:row>
      <xdr:rowOff>419100</xdr:rowOff>
    </xdr:to>
    <xdr:pic>
      <xdr:nvPicPr>
        <xdr:cNvPr id="117623" name="Picture 525" descr="Lada-Concept_3">
          <a:extLst>
            <a:ext uri="{FF2B5EF4-FFF2-40B4-BE49-F238E27FC236}">
              <a16:creationId xmlns:a16="http://schemas.microsoft.com/office/drawing/2014/main" xmlns="" id="{00000000-0008-0000-0100-000077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047875" y="19298602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1126</xdr:row>
      <xdr:rowOff>19050</xdr:rowOff>
    </xdr:from>
    <xdr:to>
      <xdr:col>2</xdr:col>
      <xdr:colOff>371475</xdr:colOff>
      <xdr:row>1126</xdr:row>
      <xdr:rowOff>400050</xdr:rowOff>
    </xdr:to>
    <xdr:pic>
      <xdr:nvPicPr>
        <xdr:cNvPr id="117624" name="Picture 528">
          <a:extLst>
            <a:ext uri="{FF2B5EF4-FFF2-40B4-BE49-F238E27FC236}">
              <a16:creationId xmlns:a16="http://schemas.microsoft.com/office/drawing/2014/main" xmlns="" id="{00000000-0008-0000-0100-000078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828800" y="193405125"/>
          <a:ext cx="17145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1126</xdr:row>
      <xdr:rowOff>28575</xdr:rowOff>
    </xdr:from>
    <xdr:to>
      <xdr:col>2</xdr:col>
      <xdr:colOff>600075</xdr:colOff>
      <xdr:row>1126</xdr:row>
      <xdr:rowOff>409575</xdr:rowOff>
    </xdr:to>
    <xdr:pic>
      <xdr:nvPicPr>
        <xdr:cNvPr id="117625" name="Picture 529">
          <a:extLst>
            <a:ext uri="{FF2B5EF4-FFF2-40B4-BE49-F238E27FC236}">
              <a16:creationId xmlns:a16="http://schemas.microsoft.com/office/drawing/2014/main" xmlns="" id="{00000000-0008-0000-0100-000079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057400" y="193414650"/>
          <a:ext cx="17145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1129</xdr:row>
      <xdr:rowOff>38100</xdr:rowOff>
    </xdr:from>
    <xdr:to>
      <xdr:col>2</xdr:col>
      <xdr:colOff>485775</xdr:colOff>
      <xdr:row>1129</xdr:row>
      <xdr:rowOff>400050</xdr:rowOff>
    </xdr:to>
    <xdr:pic>
      <xdr:nvPicPr>
        <xdr:cNvPr id="117626" name="Picture 531">
          <a:extLst>
            <a:ext uri="{FF2B5EF4-FFF2-40B4-BE49-F238E27FC236}">
              <a16:creationId xmlns:a16="http://schemas.microsoft.com/office/drawing/2014/main" xmlns="" id="{00000000-0008-0000-0100-00007A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52625" y="194738625"/>
          <a:ext cx="161925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1207</xdr:row>
      <xdr:rowOff>38100</xdr:rowOff>
    </xdr:from>
    <xdr:to>
      <xdr:col>2</xdr:col>
      <xdr:colOff>514350</xdr:colOff>
      <xdr:row>1208</xdr:row>
      <xdr:rowOff>4678</xdr:rowOff>
    </xdr:to>
    <xdr:pic>
      <xdr:nvPicPr>
        <xdr:cNvPr id="117627" name="Picture 541">
          <a:extLst>
            <a:ext uri="{FF2B5EF4-FFF2-40B4-BE49-F238E27FC236}">
              <a16:creationId xmlns:a16="http://schemas.microsoft.com/office/drawing/2014/main" xmlns="" id="{00000000-0008-0000-0100-00007B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62150" y="209473800"/>
          <a:ext cx="180975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1816</xdr:row>
      <xdr:rowOff>47625</xdr:rowOff>
    </xdr:from>
    <xdr:to>
      <xdr:col>2</xdr:col>
      <xdr:colOff>495300</xdr:colOff>
      <xdr:row>1816</xdr:row>
      <xdr:rowOff>419100</xdr:rowOff>
    </xdr:to>
    <xdr:pic>
      <xdr:nvPicPr>
        <xdr:cNvPr id="117628" name="Picture 542" descr="Layn_6">
          <a:extLst>
            <a:ext uri="{FF2B5EF4-FFF2-40B4-BE49-F238E27FC236}">
              <a16:creationId xmlns:a16="http://schemas.microsoft.com/office/drawing/2014/main" xmlns="" id="{00000000-0008-0000-0100-00007C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52625" y="343642950"/>
          <a:ext cx="171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1817</xdr:row>
      <xdr:rowOff>38100</xdr:rowOff>
    </xdr:from>
    <xdr:to>
      <xdr:col>2</xdr:col>
      <xdr:colOff>514350</xdr:colOff>
      <xdr:row>1817</xdr:row>
      <xdr:rowOff>419100</xdr:rowOff>
    </xdr:to>
    <xdr:pic>
      <xdr:nvPicPr>
        <xdr:cNvPr id="117629" name="Picture 543">
          <a:extLst>
            <a:ext uri="{FF2B5EF4-FFF2-40B4-BE49-F238E27FC236}">
              <a16:creationId xmlns:a16="http://schemas.microsoft.com/office/drawing/2014/main" xmlns="" id="{00000000-0008-0000-0100-00007D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62150" y="344071575"/>
          <a:ext cx="180975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1893</xdr:row>
      <xdr:rowOff>28575</xdr:rowOff>
    </xdr:from>
    <xdr:to>
      <xdr:col>2</xdr:col>
      <xdr:colOff>504825</xdr:colOff>
      <xdr:row>1893</xdr:row>
      <xdr:rowOff>419100</xdr:rowOff>
    </xdr:to>
    <xdr:pic>
      <xdr:nvPicPr>
        <xdr:cNvPr id="117630" name="Picture 544" descr="Elegant_6">
          <a:extLst>
            <a:ext uri="{FF2B5EF4-FFF2-40B4-BE49-F238E27FC236}">
              <a16:creationId xmlns:a16="http://schemas.microsoft.com/office/drawing/2014/main" xmlns="" id="{00000000-0008-0000-0100-00007E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952625" y="358578150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1894</xdr:row>
      <xdr:rowOff>38100</xdr:rowOff>
    </xdr:from>
    <xdr:to>
      <xdr:col>2</xdr:col>
      <xdr:colOff>485775</xdr:colOff>
      <xdr:row>1894</xdr:row>
      <xdr:rowOff>419100</xdr:rowOff>
    </xdr:to>
    <xdr:pic>
      <xdr:nvPicPr>
        <xdr:cNvPr id="117631" name="Picture 545">
          <a:extLst>
            <a:ext uri="{FF2B5EF4-FFF2-40B4-BE49-F238E27FC236}">
              <a16:creationId xmlns:a16="http://schemas.microsoft.com/office/drawing/2014/main" xmlns="" id="{00000000-0008-0000-0100-00007F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43100" y="359025825"/>
          <a:ext cx="17145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1202</xdr:row>
      <xdr:rowOff>38100</xdr:rowOff>
    </xdr:from>
    <xdr:to>
      <xdr:col>2</xdr:col>
      <xdr:colOff>371475</xdr:colOff>
      <xdr:row>1202</xdr:row>
      <xdr:rowOff>419100</xdr:rowOff>
    </xdr:to>
    <xdr:pic>
      <xdr:nvPicPr>
        <xdr:cNvPr id="117632" name="Picture 550" descr="Lada-Nova_4">
          <a:extLst>
            <a:ext uri="{FF2B5EF4-FFF2-40B4-BE49-F238E27FC236}">
              <a16:creationId xmlns:a16="http://schemas.microsoft.com/office/drawing/2014/main" xmlns="" id="{00000000-0008-0000-0100-000080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838325" y="207283050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1202</xdr:row>
      <xdr:rowOff>38100</xdr:rowOff>
    </xdr:from>
    <xdr:to>
      <xdr:col>2</xdr:col>
      <xdr:colOff>581025</xdr:colOff>
      <xdr:row>1202</xdr:row>
      <xdr:rowOff>419100</xdr:rowOff>
    </xdr:to>
    <xdr:pic>
      <xdr:nvPicPr>
        <xdr:cNvPr id="117633" name="Picture 551" descr="Lada-Nova_4">
          <a:extLst>
            <a:ext uri="{FF2B5EF4-FFF2-40B4-BE49-F238E27FC236}">
              <a16:creationId xmlns:a16="http://schemas.microsoft.com/office/drawing/2014/main" xmlns="" id="{00000000-0008-0000-0100-000081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047875" y="207283050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14</xdr:row>
      <xdr:rowOff>47625</xdr:rowOff>
    </xdr:from>
    <xdr:to>
      <xdr:col>2</xdr:col>
      <xdr:colOff>485775</xdr:colOff>
      <xdr:row>15</xdr:row>
      <xdr:rowOff>0</xdr:rowOff>
    </xdr:to>
    <xdr:pic>
      <xdr:nvPicPr>
        <xdr:cNvPr id="117634" name="Picture 589" descr="Standart_1A">
          <a:extLst>
            <a:ext uri="{FF2B5EF4-FFF2-40B4-BE49-F238E27FC236}">
              <a16:creationId xmlns:a16="http://schemas.microsoft.com/office/drawing/2014/main" xmlns="" id="{00000000-0008-0000-0100-000082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43100" y="2019300"/>
          <a:ext cx="1714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15</xdr:row>
      <xdr:rowOff>38100</xdr:rowOff>
    </xdr:from>
    <xdr:to>
      <xdr:col>2</xdr:col>
      <xdr:colOff>485775</xdr:colOff>
      <xdr:row>15</xdr:row>
      <xdr:rowOff>400050</xdr:rowOff>
    </xdr:to>
    <xdr:pic>
      <xdr:nvPicPr>
        <xdr:cNvPr id="117635" name="Picture 590" descr="Standart_1B">
          <a:extLst>
            <a:ext uri="{FF2B5EF4-FFF2-40B4-BE49-F238E27FC236}">
              <a16:creationId xmlns:a16="http://schemas.microsoft.com/office/drawing/2014/main" xmlns="" id="{00000000-0008-0000-0100-000083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43100" y="2447925"/>
          <a:ext cx="171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16</xdr:row>
      <xdr:rowOff>38100</xdr:rowOff>
    </xdr:from>
    <xdr:to>
      <xdr:col>2</xdr:col>
      <xdr:colOff>485775</xdr:colOff>
      <xdr:row>16</xdr:row>
      <xdr:rowOff>400050</xdr:rowOff>
    </xdr:to>
    <xdr:pic>
      <xdr:nvPicPr>
        <xdr:cNvPr id="117636" name="Picture 591" descr="Standart_2A">
          <a:extLst>
            <a:ext uri="{FF2B5EF4-FFF2-40B4-BE49-F238E27FC236}">
              <a16:creationId xmlns:a16="http://schemas.microsoft.com/office/drawing/2014/main" xmlns="" id="{00000000-0008-0000-0100-000084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43100" y="2886075"/>
          <a:ext cx="171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17</xdr:row>
      <xdr:rowOff>38100</xdr:rowOff>
    </xdr:from>
    <xdr:to>
      <xdr:col>2</xdr:col>
      <xdr:colOff>485775</xdr:colOff>
      <xdr:row>17</xdr:row>
      <xdr:rowOff>400050</xdr:rowOff>
    </xdr:to>
    <xdr:pic>
      <xdr:nvPicPr>
        <xdr:cNvPr id="117637" name="Picture 592" descr="Standart_2B">
          <a:extLst>
            <a:ext uri="{FF2B5EF4-FFF2-40B4-BE49-F238E27FC236}">
              <a16:creationId xmlns:a16="http://schemas.microsoft.com/office/drawing/2014/main" xmlns="" id="{00000000-0008-0000-0100-000085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43100" y="3324225"/>
          <a:ext cx="171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18</xdr:row>
      <xdr:rowOff>47625</xdr:rowOff>
    </xdr:from>
    <xdr:to>
      <xdr:col>2</xdr:col>
      <xdr:colOff>361950</xdr:colOff>
      <xdr:row>18</xdr:row>
      <xdr:rowOff>419100</xdr:rowOff>
    </xdr:to>
    <xdr:pic>
      <xdr:nvPicPr>
        <xdr:cNvPr id="117638" name="Picture 593" descr="Standart_3">
          <a:extLst>
            <a:ext uri="{FF2B5EF4-FFF2-40B4-BE49-F238E27FC236}">
              <a16:creationId xmlns:a16="http://schemas.microsoft.com/office/drawing/2014/main" xmlns="" id="{00000000-0008-0000-0100-000086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828800" y="3771900"/>
          <a:ext cx="161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47625</xdr:rowOff>
    </xdr:from>
    <xdr:to>
      <xdr:col>2</xdr:col>
      <xdr:colOff>561975</xdr:colOff>
      <xdr:row>18</xdr:row>
      <xdr:rowOff>419100</xdr:rowOff>
    </xdr:to>
    <xdr:pic>
      <xdr:nvPicPr>
        <xdr:cNvPr id="117639" name="Picture 594" descr="Standart_3">
          <a:extLst>
            <a:ext uri="{FF2B5EF4-FFF2-40B4-BE49-F238E27FC236}">
              <a16:creationId xmlns:a16="http://schemas.microsoft.com/office/drawing/2014/main" xmlns="" id="{00000000-0008-0000-0100-000087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028825" y="3771900"/>
          <a:ext cx="161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19</xdr:row>
      <xdr:rowOff>57150</xdr:rowOff>
    </xdr:from>
    <xdr:to>
      <xdr:col>2</xdr:col>
      <xdr:colOff>342900</xdr:colOff>
      <xdr:row>19</xdr:row>
      <xdr:rowOff>419100</xdr:rowOff>
    </xdr:to>
    <xdr:pic>
      <xdr:nvPicPr>
        <xdr:cNvPr id="117640" name="Picture 595" descr="Standart_4">
          <a:extLst>
            <a:ext uri="{FF2B5EF4-FFF2-40B4-BE49-F238E27FC236}">
              <a16:creationId xmlns:a16="http://schemas.microsoft.com/office/drawing/2014/main" xmlns="" id="{00000000-0008-0000-0100-000088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819275" y="421957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19</xdr:row>
      <xdr:rowOff>57150</xdr:rowOff>
    </xdr:from>
    <xdr:to>
      <xdr:col>2</xdr:col>
      <xdr:colOff>561975</xdr:colOff>
      <xdr:row>19</xdr:row>
      <xdr:rowOff>419100</xdr:rowOff>
    </xdr:to>
    <xdr:pic>
      <xdr:nvPicPr>
        <xdr:cNvPr id="117641" name="Picture 596" descr="Standart_4">
          <a:extLst>
            <a:ext uri="{FF2B5EF4-FFF2-40B4-BE49-F238E27FC236}">
              <a16:creationId xmlns:a16="http://schemas.microsoft.com/office/drawing/2014/main" xmlns="" id="{00000000-0008-0000-0100-000089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028825" y="4219575"/>
          <a:ext cx="1619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2163</xdr:row>
      <xdr:rowOff>38100</xdr:rowOff>
    </xdr:from>
    <xdr:to>
      <xdr:col>2</xdr:col>
      <xdr:colOff>609600</xdr:colOff>
      <xdr:row>2164</xdr:row>
      <xdr:rowOff>1602</xdr:rowOff>
    </xdr:to>
    <xdr:pic>
      <xdr:nvPicPr>
        <xdr:cNvPr id="117642" name="Picture 607">
          <a:extLst>
            <a:ext uri="{FF2B5EF4-FFF2-40B4-BE49-F238E27FC236}">
              <a16:creationId xmlns:a16="http://schemas.microsoft.com/office/drawing/2014/main" xmlns="" id="{00000000-0008-0000-0100-00008A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800225" y="409003500"/>
          <a:ext cx="438150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2225</xdr:row>
      <xdr:rowOff>47625</xdr:rowOff>
    </xdr:from>
    <xdr:to>
      <xdr:col>2</xdr:col>
      <xdr:colOff>609600</xdr:colOff>
      <xdr:row>2226</xdr:row>
      <xdr:rowOff>0</xdr:rowOff>
    </xdr:to>
    <xdr:pic>
      <xdr:nvPicPr>
        <xdr:cNvPr id="117643" name="Picture 609">
          <a:extLst>
            <a:ext uri="{FF2B5EF4-FFF2-40B4-BE49-F238E27FC236}">
              <a16:creationId xmlns:a16="http://schemas.microsoft.com/office/drawing/2014/main" xmlns="" id="{00000000-0008-0000-0100-00008B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828800" y="420785925"/>
          <a:ext cx="409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2229</xdr:row>
      <xdr:rowOff>38100</xdr:rowOff>
    </xdr:from>
    <xdr:to>
      <xdr:col>2</xdr:col>
      <xdr:colOff>619125</xdr:colOff>
      <xdr:row>2229</xdr:row>
      <xdr:rowOff>400050</xdr:rowOff>
    </xdr:to>
    <xdr:pic>
      <xdr:nvPicPr>
        <xdr:cNvPr id="117644" name="Picture 613">
          <a:extLst>
            <a:ext uri="{FF2B5EF4-FFF2-40B4-BE49-F238E27FC236}">
              <a16:creationId xmlns:a16="http://schemas.microsoft.com/office/drawing/2014/main" xmlns="" id="{00000000-0008-0000-0100-00008C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809750" y="422405175"/>
          <a:ext cx="43815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2228</xdr:row>
      <xdr:rowOff>47625</xdr:rowOff>
    </xdr:from>
    <xdr:to>
      <xdr:col>2</xdr:col>
      <xdr:colOff>638175</xdr:colOff>
      <xdr:row>2228</xdr:row>
      <xdr:rowOff>419100</xdr:rowOff>
    </xdr:to>
    <xdr:pic>
      <xdr:nvPicPr>
        <xdr:cNvPr id="117645" name="Picture 616">
          <a:extLst>
            <a:ext uri="{FF2B5EF4-FFF2-40B4-BE49-F238E27FC236}">
              <a16:creationId xmlns:a16="http://schemas.microsoft.com/office/drawing/2014/main" xmlns="" id="{00000000-0008-0000-0100-00008D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781175" y="421976550"/>
          <a:ext cx="485775" cy="371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2290</xdr:row>
      <xdr:rowOff>66675</xdr:rowOff>
    </xdr:from>
    <xdr:to>
      <xdr:col>2</xdr:col>
      <xdr:colOff>676275</xdr:colOff>
      <xdr:row>2294</xdr:row>
      <xdr:rowOff>142875</xdr:rowOff>
    </xdr:to>
    <xdr:pic>
      <xdr:nvPicPr>
        <xdr:cNvPr id="117646" name="Picture 618">
          <a:extLst>
            <a:ext uri="{FF2B5EF4-FFF2-40B4-BE49-F238E27FC236}">
              <a16:creationId xmlns:a16="http://schemas.microsoft.com/office/drawing/2014/main" xmlns="" id="{00000000-0008-0000-0100-00008E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43075" y="433606575"/>
          <a:ext cx="561975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1333500</xdr:colOff>
      <xdr:row>2714</xdr:row>
      <xdr:rowOff>57150</xdr:rowOff>
    </xdr:from>
    <xdr:to>
      <xdr:col>2</xdr:col>
      <xdr:colOff>676275</xdr:colOff>
      <xdr:row>2714</xdr:row>
      <xdr:rowOff>419100</xdr:rowOff>
    </xdr:to>
    <xdr:pic>
      <xdr:nvPicPr>
        <xdr:cNvPr id="117647" name="Picture 620">
          <a:extLst>
            <a:ext uri="{FF2B5EF4-FFF2-40B4-BE49-F238E27FC236}">
              <a16:creationId xmlns:a16="http://schemas.microsoft.com/office/drawing/2014/main" xmlns="" id="{00000000-0008-0000-0100-00008F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400175" y="4979384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2639</xdr:row>
      <xdr:rowOff>85725</xdr:rowOff>
    </xdr:from>
    <xdr:to>
      <xdr:col>2</xdr:col>
      <xdr:colOff>771525</xdr:colOff>
      <xdr:row>2639</xdr:row>
      <xdr:rowOff>333375</xdr:rowOff>
    </xdr:to>
    <xdr:pic>
      <xdr:nvPicPr>
        <xdr:cNvPr id="117648" name="Picture 638" descr="111">
          <a:extLst>
            <a:ext uri="{FF2B5EF4-FFF2-40B4-BE49-F238E27FC236}">
              <a16:creationId xmlns:a16="http://schemas.microsoft.com/office/drawing/2014/main" xmlns="" id="{00000000-0008-0000-0100-000090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47825" y="483765225"/>
          <a:ext cx="7524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2641</xdr:row>
      <xdr:rowOff>47625</xdr:rowOff>
    </xdr:from>
    <xdr:to>
      <xdr:col>2</xdr:col>
      <xdr:colOff>676275</xdr:colOff>
      <xdr:row>2649</xdr:row>
      <xdr:rowOff>133352</xdr:rowOff>
    </xdr:to>
    <xdr:pic>
      <xdr:nvPicPr>
        <xdr:cNvPr id="117649" name="Picture 639" descr="2222">
          <a:extLst>
            <a:ext uri="{FF2B5EF4-FFF2-40B4-BE49-F238E27FC236}">
              <a16:creationId xmlns:a16="http://schemas.microsoft.com/office/drawing/2014/main" xmlns="" id="{00000000-0008-0000-0100-000091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733550" y="484479600"/>
          <a:ext cx="5715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2771</xdr:row>
      <xdr:rowOff>19050</xdr:rowOff>
    </xdr:from>
    <xdr:to>
      <xdr:col>2</xdr:col>
      <xdr:colOff>685800</xdr:colOff>
      <xdr:row>2772</xdr:row>
      <xdr:rowOff>0</xdr:rowOff>
    </xdr:to>
    <xdr:pic>
      <xdr:nvPicPr>
        <xdr:cNvPr id="117650" name="Picture 640" descr="111">
          <a:extLst>
            <a:ext uri="{FF2B5EF4-FFF2-40B4-BE49-F238E27FC236}">
              <a16:creationId xmlns:a16="http://schemas.microsoft.com/office/drawing/2014/main" xmlns="" id="{00000000-0008-0000-0100-000092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895475" y="5092255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2772</xdr:row>
      <xdr:rowOff>38100</xdr:rowOff>
    </xdr:from>
    <xdr:to>
      <xdr:col>2</xdr:col>
      <xdr:colOff>657225</xdr:colOff>
      <xdr:row>2772</xdr:row>
      <xdr:rowOff>409575</xdr:rowOff>
    </xdr:to>
    <xdr:pic>
      <xdr:nvPicPr>
        <xdr:cNvPr id="117651" name="Picture 641" descr="222">
          <a:extLst>
            <a:ext uri="{FF2B5EF4-FFF2-40B4-BE49-F238E27FC236}">
              <a16:creationId xmlns:a16="http://schemas.microsoft.com/office/drawing/2014/main" xmlns="" id="{00000000-0008-0000-0100-000093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24050" y="509682750"/>
          <a:ext cx="3619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2773</xdr:row>
      <xdr:rowOff>57150</xdr:rowOff>
    </xdr:from>
    <xdr:to>
      <xdr:col>2</xdr:col>
      <xdr:colOff>619125</xdr:colOff>
      <xdr:row>2773</xdr:row>
      <xdr:rowOff>390525</xdr:rowOff>
    </xdr:to>
    <xdr:pic>
      <xdr:nvPicPr>
        <xdr:cNvPr id="117652" name="Picture 642" descr="7b6d420211dc05624fdfc06bef8941cc">
          <a:extLst>
            <a:ext uri="{FF2B5EF4-FFF2-40B4-BE49-F238E27FC236}">
              <a16:creationId xmlns:a16="http://schemas.microsoft.com/office/drawing/2014/main" xmlns="" id="{00000000-0008-0000-0100-000094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009775" y="510578100"/>
          <a:ext cx="238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2774</xdr:row>
      <xdr:rowOff>38100</xdr:rowOff>
    </xdr:from>
    <xdr:to>
      <xdr:col>2</xdr:col>
      <xdr:colOff>704850</xdr:colOff>
      <xdr:row>2774</xdr:row>
      <xdr:rowOff>390525</xdr:rowOff>
    </xdr:to>
    <xdr:pic>
      <xdr:nvPicPr>
        <xdr:cNvPr id="117653" name="Picture 643" descr="2330865">
          <a:extLst>
            <a:ext uri="{FF2B5EF4-FFF2-40B4-BE49-F238E27FC236}">
              <a16:creationId xmlns:a16="http://schemas.microsoft.com/office/drawing/2014/main" xmlns="" id="{00000000-0008-0000-0100-000095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885950" y="511435350"/>
          <a:ext cx="447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1127</xdr:row>
      <xdr:rowOff>38100</xdr:rowOff>
    </xdr:from>
    <xdr:to>
      <xdr:col>2</xdr:col>
      <xdr:colOff>495300</xdr:colOff>
      <xdr:row>1127</xdr:row>
      <xdr:rowOff>400050</xdr:rowOff>
    </xdr:to>
    <xdr:pic>
      <xdr:nvPicPr>
        <xdr:cNvPr id="117655" name="Picture 681">
          <a:extLst>
            <a:ext uri="{FF2B5EF4-FFF2-40B4-BE49-F238E27FC236}">
              <a16:creationId xmlns:a16="http://schemas.microsoft.com/office/drawing/2014/main" xmlns="" id="{00000000-0008-0000-0100-000097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962150" y="193862325"/>
          <a:ext cx="161925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1128</xdr:row>
      <xdr:rowOff>38100</xdr:rowOff>
    </xdr:from>
    <xdr:to>
      <xdr:col>2</xdr:col>
      <xdr:colOff>495300</xdr:colOff>
      <xdr:row>1128</xdr:row>
      <xdr:rowOff>400050</xdr:rowOff>
    </xdr:to>
    <xdr:pic>
      <xdr:nvPicPr>
        <xdr:cNvPr id="117656" name="Picture 685" descr="Lada-Concept_5">
          <a:extLst>
            <a:ext uri="{FF2B5EF4-FFF2-40B4-BE49-F238E27FC236}">
              <a16:creationId xmlns:a16="http://schemas.microsoft.com/office/drawing/2014/main" xmlns="" id="{00000000-0008-0000-0100-000098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62150" y="194300475"/>
          <a:ext cx="1619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1205</xdr:row>
      <xdr:rowOff>38100</xdr:rowOff>
    </xdr:from>
    <xdr:to>
      <xdr:col>2</xdr:col>
      <xdr:colOff>495300</xdr:colOff>
      <xdr:row>1205</xdr:row>
      <xdr:rowOff>400050</xdr:rowOff>
    </xdr:to>
    <xdr:pic>
      <xdr:nvPicPr>
        <xdr:cNvPr id="117657" name="Picture 692">
          <a:extLst>
            <a:ext uri="{FF2B5EF4-FFF2-40B4-BE49-F238E27FC236}">
              <a16:creationId xmlns:a16="http://schemas.microsoft.com/office/drawing/2014/main" xmlns="" id="{00000000-0008-0000-0100-000099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62150" y="208597500"/>
          <a:ext cx="161925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1206</xdr:row>
      <xdr:rowOff>57150</xdr:rowOff>
    </xdr:from>
    <xdr:to>
      <xdr:col>2</xdr:col>
      <xdr:colOff>485775</xdr:colOff>
      <xdr:row>1206</xdr:row>
      <xdr:rowOff>400050</xdr:rowOff>
    </xdr:to>
    <xdr:pic>
      <xdr:nvPicPr>
        <xdr:cNvPr id="117658" name="Picture 696" descr="Lada-Nova_7">
          <a:extLst>
            <a:ext uri="{FF2B5EF4-FFF2-40B4-BE49-F238E27FC236}">
              <a16:creationId xmlns:a16="http://schemas.microsoft.com/office/drawing/2014/main" xmlns="" id="{00000000-0008-0000-0100-00009A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62150" y="209054700"/>
          <a:ext cx="152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1203</xdr:row>
      <xdr:rowOff>47625</xdr:rowOff>
    </xdr:from>
    <xdr:to>
      <xdr:col>2</xdr:col>
      <xdr:colOff>495300</xdr:colOff>
      <xdr:row>1203</xdr:row>
      <xdr:rowOff>390525</xdr:rowOff>
    </xdr:to>
    <xdr:pic>
      <xdr:nvPicPr>
        <xdr:cNvPr id="117659" name="Picture 697" descr="Lada-Nova_6a">
          <a:extLst>
            <a:ext uri="{FF2B5EF4-FFF2-40B4-BE49-F238E27FC236}">
              <a16:creationId xmlns:a16="http://schemas.microsoft.com/office/drawing/2014/main" xmlns="" id="{00000000-0008-0000-0100-00009B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71675" y="207730725"/>
          <a:ext cx="152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1204</xdr:row>
      <xdr:rowOff>57150</xdr:rowOff>
    </xdr:from>
    <xdr:to>
      <xdr:col>2</xdr:col>
      <xdr:colOff>485775</xdr:colOff>
      <xdr:row>1204</xdr:row>
      <xdr:rowOff>400050</xdr:rowOff>
    </xdr:to>
    <xdr:pic>
      <xdr:nvPicPr>
        <xdr:cNvPr id="117660" name="Picture 701" descr="Lada-Nova_6a">
          <a:extLst>
            <a:ext uri="{FF2B5EF4-FFF2-40B4-BE49-F238E27FC236}">
              <a16:creationId xmlns:a16="http://schemas.microsoft.com/office/drawing/2014/main" xmlns="" id="{00000000-0008-0000-0100-00009C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62150" y="208178400"/>
          <a:ext cx="152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2362</xdr:row>
      <xdr:rowOff>66675</xdr:rowOff>
    </xdr:from>
    <xdr:to>
      <xdr:col>2</xdr:col>
      <xdr:colOff>676275</xdr:colOff>
      <xdr:row>2366</xdr:row>
      <xdr:rowOff>142875</xdr:rowOff>
    </xdr:to>
    <xdr:pic>
      <xdr:nvPicPr>
        <xdr:cNvPr id="117661" name="Picture 728">
          <a:extLst>
            <a:ext uri="{FF2B5EF4-FFF2-40B4-BE49-F238E27FC236}">
              <a16:creationId xmlns:a16="http://schemas.microsoft.com/office/drawing/2014/main" xmlns="" id="{00000000-0008-0000-0100-00009D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43075" y="446989200"/>
          <a:ext cx="561975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2430</xdr:row>
      <xdr:rowOff>66675</xdr:rowOff>
    </xdr:from>
    <xdr:to>
      <xdr:col>2</xdr:col>
      <xdr:colOff>676275</xdr:colOff>
      <xdr:row>2434</xdr:row>
      <xdr:rowOff>142872</xdr:rowOff>
    </xdr:to>
    <xdr:pic>
      <xdr:nvPicPr>
        <xdr:cNvPr id="117662" name="Picture 732">
          <a:extLst>
            <a:ext uri="{FF2B5EF4-FFF2-40B4-BE49-F238E27FC236}">
              <a16:creationId xmlns:a16="http://schemas.microsoft.com/office/drawing/2014/main" xmlns="" id="{00000000-0008-0000-0100-00009E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43075" y="458743050"/>
          <a:ext cx="561975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0</xdr:row>
      <xdr:rowOff>133350</xdr:rowOff>
    </xdr:from>
    <xdr:to>
      <xdr:col>2</xdr:col>
      <xdr:colOff>219075</xdr:colOff>
      <xdr:row>4</xdr:row>
      <xdr:rowOff>85725</xdr:rowOff>
    </xdr:to>
    <xdr:pic>
      <xdr:nvPicPr>
        <xdr:cNvPr id="117664" name="Picture 383" descr="123">
          <a:extLst>
            <a:ext uri="{FF2B5EF4-FFF2-40B4-BE49-F238E27FC236}">
              <a16:creationId xmlns:a16="http://schemas.microsoft.com/office/drawing/2014/main" xmlns="" id="{00000000-0008-0000-0100-0000A0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 t="6827"/>
        <a:stretch>
          <a:fillRect/>
        </a:stretch>
      </xdr:blipFill>
      <xdr:spPr bwMode="auto">
        <a:xfrm>
          <a:off x="85725" y="133350"/>
          <a:ext cx="17621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1327</xdr:row>
      <xdr:rowOff>0</xdr:rowOff>
    </xdr:from>
    <xdr:to>
      <xdr:col>2</xdr:col>
      <xdr:colOff>428625</xdr:colOff>
      <xdr:row>1328</xdr:row>
      <xdr:rowOff>7015</xdr:rowOff>
    </xdr:to>
    <xdr:pic>
      <xdr:nvPicPr>
        <xdr:cNvPr id="117665" name="Рисунок 191" descr="Loft 1_0_401.png">
          <a:extLst>
            <a:ext uri="{FF2B5EF4-FFF2-40B4-BE49-F238E27FC236}">
              <a16:creationId xmlns:a16="http://schemas.microsoft.com/office/drawing/2014/main" xmlns="" id="{00000000-0008-0000-0100-0000A1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743075" y="234724575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1326</xdr:row>
      <xdr:rowOff>152400</xdr:rowOff>
    </xdr:from>
    <xdr:to>
      <xdr:col>2</xdr:col>
      <xdr:colOff>685800</xdr:colOff>
      <xdr:row>1328</xdr:row>
      <xdr:rowOff>2471</xdr:rowOff>
    </xdr:to>
    <xdr:pic>
      <xdr:nvPicPr>
        <xdr:cNvPr id="117666" name="Рисунок 192" descr="Loft 1_1_401.png">
          <a:extLst>
            <a:ext uri="{FF2B5EF4-FFF2-40B4-BE49-F238E27FC236}">
              <a16:creationId xmlns:a16="http://schemas.microsoft.com/office/drawing/2014/main" xmlns="" id="{00000000-0008-0000-0100-0000A2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000250" y="234715050"/>
          <a:ext cx="314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1328</xdr:row>
      <xdr:rowOff>9525</xdr:rowOff>
    </xdr:from>
    <xdr:to>
      <xdr:col>2</xdr:col>
      <xdr:colOff>438150</xdr:colOff>
      <xdr:row>1329</xdr:row>
      <xdr:rowOff>1</xdr:rowOff>
    </xdr:to>
    <xdr:pic>
      <xdr:nvPicPr>
        <xdr:cNvPr id="117667" name="Рисунок 195" descr="Loft 3_0_401.png">
          <a:extLst>
            <a:ext uri="{FF2B5EF4-FFF2-40B4-BE49-F238E27FC236}">
              <a16:creationId xmlns:a16="http://schemas.microsoft.com/office/drawing/2014/main" xmlns="" id="{00000000-0008-0000-0100-0000A3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752600" y="235172250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1328</xdr:row>
      <xdr:rowOff>19050</xdr:rowOff>
    </xdr:from>
    <xdr:to>
      <xdr:col>2</xdr:col>
      <xdr:colOff>704850</xdr:colOff>
      <xdr:row>1329</xdr:row>
      <xdr:rowOff>9526</xdr:rowOff>
    </xdr:to>
    <xdr:pic>
      <xdr:nvPicPr>
        <xdr:cNvPr id="117668" name="Рисунок 196" descr="Loft 3_1_401.png">
          <a:extLst>
            <a:ext uri="{FF2B5EF4-FFF2-40B4-BE49-F238E27FC236}">
              <a16:creationId xmlns:a16="http://schemas.microsoft.com/office/drawing/2014/main" xmlns="" id="{00000000-0008-0000-0100-0000A4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019300" y="235181775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1329</xdr:row>
      <xdr:rowOff>19050</xdr:rowOff>
    </xdr:from>
    <xdr:to>
      <xdr:col>2</xdr:col>
      <xdr:colOff>428625</xdr:colOff>
      <xdr:row>1330</xdr:row>
      <xdr:rowOff>0</xdr:rowOff>
    </xdr:to>
    <xdr:pic>
      <xdr:nvPicPr>
        <xdr:cNvPr id="117669" name="Рисунок 197" descr="Loft 4_0_401.png">
          <a:extLst>
            <a:ext uri="{FF2B5EF4-FFF2-40B4-BE49-F238E27FC236}">
              <a16:creationId xmlns:a16="http://schemas.microsoft.com/office/drawing/2014/main" xmlns="" id="{00000000-0008-0000-0100-0000A5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743075" y="235619925"/>
          <a:ext cx="3143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1329</xdr:row>
      <xdr:rowOff>9525</xdr:rowOff>
    </xdr:from>
    <xdr:to>
      <xdr:col>2</xdr:col>
      <xdr:colOff>695325</xdr:colOff>
      <xdr:row>1330</xdr:row>
      <xdr:rowOff>0</xdr:rowOff>
    </xdr:to>
    <xdr:pic>
      <xdr:nvPicPr>
        <xdr:cNvPr id="117670" name="Рисунок 198" descr="Loft 4_1_401.png">
          <a:extLst>
            <a:ext uri="{FF2B5EF4-FFF2-40B4-BE49-F238E27FC236}">
              <a16:creationId xmlns:a16="http://schemas.microsoft.com/office/drawing/2014/main" xmlns="" id="{00000000-0008-0000-0100-0000A6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019300" y="235610400"/>
          <a:ext cx="3048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1330</xdr:row>
      <xdr:rowOff>9525</xdr:rowOff>
    </xdr:from>
    <xdr:to>
      <xdr:col>2</xdr:col>
      <xdr:colOff>428625</xdr:colOff>
      <xdr:row>1331</xdr:row>
      <xdr:rowOff>9526</xdr:rowOff>
    </xdr:to>
    <xdr:pic>
      <xdr:nvPicPr>
        <xdr:cNvPr id="117671" name="Рисунок 199" descr="Loft 5_0_401.png">
          <a:extLst>
            <a:ext uri="{FF2B5EF4-FFF2-40B4-BE49-F238E27FC236}">
              <a16:creationId xmlns:a16="http://schemas.microsoft.com/office/drawing/2014/main" xmlns="" id="{00000000-0008-0000-0100-0000A7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743075" y="236048550"/>
          <a:ext cx="314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1330</xdr:row>
      <xdr:rowOff>0</xdr:rowOff>
    </xdr:from>
    <xdr:to>
      <xdr:col>2</xdr:col>
      <xdr:colOff>704850</xdr:colOff>
      <xdr:row>1331</xdr:row>
      <xdr:rowOff>1</xdr:rowOff>
    </xdr:to>
    <xdr:pic>
      <xdr:nvPicPr>
        <xdr:cNvPr id="117672" name="Рисунок 200" descr="Loft 5_1_401.png">
          <a:extLst>
            <a:ext uri="{FF2B5EF4-FFF2-40B4-BE49-F238E27FC236}">
              <a16:creationId xmlns:a16="http://schemas.microsoft.com/office/drawing/2014/main" xmlns="" id="{00000000-0008-0000-0100-0000A8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019300" y="236039025"/>
          <a:ext cx="314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1331</xdr:row>
      <xdr:rowOff>0</xdr:rowOff>
    </xdr:from>
    <xdr:to>
      <xdr:col>2</xdr:col>
      <xdr:colOff>428625</xdr:colOff>
      <xdr:row>1332</xdr:row>
      <xdr:rowOff>7016</xdr:rowOff>
    </xdr:to>
    <xdr:pic>
      <xdr:nvPicPr>
        <xdr:cNvPr id="117673" name="Рисунок 201" descr="Loft 6_0_401.png">
          <a:extLst>
            <a:ext uri="{FF2B5EF4-FFF2-40B4-BE49-F238E27FC236}">
              <a16:creationId xmlns:a16="http://schemas.microsoft.com/office/drawing/2014/main" xmlns="" id="{00000000-0008-0000-0100-0000A9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743075" y="236477175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1331</xdr:row>
      <xdr:rowOff>9525</xdr:rowOff>
    </xdr:from>
    <xdr:to>
      <xdr:col>2</xdr:col>
      <xdr:colOff>695325</xdr:colOff>
      <xdr:row>1332</xdr:row>
      <xdr:rowOff>1600</xdr:rowOff>
    </xdr:to>
    <xdr:pic>
      <xdr:nvPicPr>
        <xdr:cNvPr id="117674" name="Рисунок 202" descr="Loft 6_1_401.png">
          <a:extLst>
            <a:ext uri="{FF2B5EF4-FFF2-40B4-BE49-F238E27FC236}">
              <a16:creationId xmlns:a16="http://schemas.microsoft.com/office/drawing/2014/main" xmlns="" id="{00000000-0008-0000-0100-0000AA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009775" y="236486700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2302</xdr:row>
      <xdr:rowOff>66675</xdr:rowOff>
    </xdr:from>
    <xdr:to>
      <xdr:col>2</xdr:col>
      <xdr:colOff>771525</xdr:colOff>
      <xdr:row>2302</xdr:row>
      <xdr:rowOff>381000</xdr:rowOff>
    </xdr:to>
    <xdr:pic>
      <xdr:nvPicPr>
        <xdr:cNvPr id="117675" name="Picture 637" descr="asdfadsfadsf">
          <a:extLst>
            <a:ext uri="{FF2B5EF4-FFF2-40B4-BE49-F238E27FC236}">
              <a16:creationId xmlns:a16="http://schemas.microsoft.com/office/drawing/2014/main" xmlns="" id="{00000000-0008-0000-0100-0000AB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57350" y="435978300"/>
          <a:ext cx="7429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2226</xdr:row>
      <xdr:rowOff>47625</xdr:rowOff>
    </xdr:from>
    <xdr:to>
      <xdr:col>2</xdr:col>
      <xdr:colOff>609600</xdr:colOff>
      <xdr:row>2227</xdr:row>
      <xdr:rowOff>4</xdr:rowOff>
    </xdr:to>
    <xdr:pic>
      <xdr:nvPicPr>
        <xdr:cNvPr id="117676" name="Picture 609">
          <a:extLst>
            <a:ext uri="{FF2B5EF4-FFF2-40B4-BE49-F238E27FC236}">
              <a16:creationId xmlns:a16="http://schemas.microsoft.com/office/drawing/2014/main" xmlns="" id="{00000000-0008-0000-0100-0000AC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828800" y="421224075"/>
          <a:ext cx="409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2485</xdr:row>
      <xdr:rowOff>66675</xdr:rowOff>
    </xdr:from>
    <xdr:to>
      <xdr:col>2</xdr:col>
      <xdr:colOff>771525</xdr:colOff>
      <xdr:row>2485</xdr:row>
      <xdr:rowOff>381000</xdr:rowOff>
    </xdr:to>
    <xdr:pic>
      <xdr:nvPicPr>
        <xdr:cNvPr id="117678" name="Picture 637" descr="asdfadsfadsf">
          <a:extLst>
            <a:ext uri="{FF2B5EF4-FFF2-40B4-BE49-F238E27FC236}">
              <a16:creationId xmlns:a16="http://schemas.microsoft.com/office/drawing/2014/main" xmlns="" id="{00000000-0008-0000-0100-0000AE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57350" y="461114775"/>
          <a:ext cx="7429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2230</xdr:row>
      <xdr:rowOff>38100</xdr:rowOff>
    </xdr:from>
    <xdr:to>
      <xdr:col>2</xdr:col>
      <xdr:colOff>619125</xdr:colOff>
      <xdr:row>2230</xdr:row>
      <xdr:rowOff>400050</xdr:rowOff>
    </xdr:to>
    <xdr:pic>
      <xdr:nvPicPr>
        <xdr:cNvPr id="117679" name="Picture 613">
          <a:extLst>
            <a:ext uri="{FF2B5EF4-FFF2-40B4-BE49-F238E27FC236}">
              <a16:creationId xmlns:a16="http://schemas.microsoft.com/office/drawing/2014/main" xmlns="" id="{00000000-0008-0000-0100-0000AF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809750" y="422843325"/>
          <a:ext cx="43815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2580</xdr:row>
      <xdr:rowOff>142875</xdr:rowOff>
    </xdr:from>
    <xdr:to>
      <xdr:col>2</xdr:col>
      <xdr:colOff>695325</xdr:colOff>
      <xdr:row>2581</xdr:row>
      <xdr:rowOff>238124</xdr:rowOff>
    </xdr:to>
    <xdr:pic>
      <xdr:nvPicPr>
        <xdr:cNvPr id="117680" name="Picture 609">
          <a:extLst>
            <a:ext uri="{FF2B5EF4-FFF2-40B4-BE49-F238E27FC236}">
              <a16:creationId xmlns:a16="http://schemas.microsoft.com/office/drawing/2014/main" xmlns="" id="{00000000-0008-0000-0100-0000B0C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762125" y="472544775"/>
          <a:ext cx="5619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686</xdr:row>
      <xdr:rowOff>19050</xdr:rowOff>
    </xdr:from>
    <xdr:to>
      <xdr:col>2</xdr:col>
      <xdr:colOff>314325</xdr:colOff>
      <xdr:row>686</xdr:row>
      <xdr:rowOff>400050</xdr:rowOff>
    </xdr:to>
    <xdr:pic>
      <xdr:nvPicPr>
        <xdr:cNvPr id="117686" name="Рисунок 223" descr="Lada 2A.0.png">
          <a:extLst>
            <a:ext uri="{FF2B5EF4-FFF2-40B4-BE49-F238E27FC236}">
              <a16:creationId xmlns:a16="http://schemas.microsoft.com/office/drawing/2014/main" xmlns="" id="{00000000-0008-0000-0100-0000B6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771650" y="11490007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686</xdr:row>
      <xdr:rowOff>28575</xdr:rowOff>
    </xdr:from>
    <xdr:to>
      <xdr:col>2</xdr:col>
      <xdr:colOff>581025</xdr:colOff>
      <xdr:row>686</xdr:row>
      <xdr:rowOff>409575</xdr:rowOff>
    </xdr:to>
    <xdr:pic>
      <xdr:nvPicPr>
        <xdr:cNvPr id="117687" name="Рисунок 224" descr="Lada 2A.1.png">
          <a:extLst>
            <a:ext uri="{FF2B5EF4-FFF2-40B4-BE49-F238E27FC236}">
              <a16:creationId xmlns:a16="http://schemas.microsoft.com/office/drawing/2014/main" xmlns="" id="{00000000-0008-0000-0100-0000B7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038350" y="11490960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687</xdr:row>
      <xdr:rowOff>38100</xdr:rowOff>
    </xdr:from>
    <xdr:to>
      <xdr:col>2</xdr:col>
      <xdr:colOff>304800</xdr:colOff>
      <xdr:row>687</xdr:row>
      <xdr:rowOff>419100</xdr:rowOff>
    </xdr:to>
    <xdr:pic>
      <xdr:nvPicPr>
        <xdr:cNvPr id="117688" name="Рисунок 225" descr="Lada 3A.0.png">
          <a:extLst>
            <a:ext uri="{FF2B5EF4-FFF2-40B4-BE49-F238E27FC236}">
              <a16:creationId xmlns:a16="http://schemas.microsoft.com/office/drawing/2014/main" xmlns="" id="{00000000-0008-0000-0100-0000B8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762125" y="11535727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687</xdr:row>
      <xdr:rowOff>28575</xdr:rowOff>
    </xdr:from>
    <xdr:to>
      <xdr:col>2</xdr:col>
      <xdr:colOff>581025</xdr:colOff>
      <xdr:row>687</xdr:row>
      <xdr:rowOff>409575</xdr:rowOff>
    </xdr:to>
    <xdr:pic>
      <xdr:nvPicPr>
        <xdr:cNvPr id="117689" name="Рисунок 226" descr="Lada 3A.2.png">
          <a:extLst>
            <a:ext uri="{FF2B5EF4-FFF2-40B4-BE49-F238E27FC236}">
              <a16:creationId xmlns:a16="http://schemas.microsoft.com/office/drawing/2014/main" xmlns="" id="{00000000-0008-0000-0100-0000B9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038350" y="11534775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688</xdr:row>
      <xdr:rowOff>28575</xdr:rowOff>
    </xdr:from>
    <xdr:to>
      <xdr:col>2</xdr:col>
      <xdr:colOff>295275</xdr:colOff>
      <xdr:row>688</xdr:row>
      <xdr:rowOff>409575</xdr:rowOff>
    </xdr:to>
    <xdr:pic>
      <xdr:nvPicPr>
        <xdr:cNvPr id="117690" name="Рисунок 227" descr="Lada 8.0.png">
          <a:extLst>
            <a:ext uri="{FF2B5EF4-FFF2-40B4-BE49-F238E27FC236}">
              <a16:creationId xmlns:a16="http://schemas.microsoft.com/office/drawing/2014/main" xmlns="" id="{00000000-0008-0000-0100-0000BA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752600" y="11578590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688</xdr:row>
      <xdr:rowOff>28575</xdr:rowOff>
    </xdr:from>
    <xdr:to>
      <xdr:col>2</xdr:col>
      <xdr:colOff>581025</xdr:colOff>
      <xdr:row>688</xdr:row>
      <xdr:rowOff>409575</xdr:rowOff>
    </xdr:to>
    <xdr:pic>
      <xdr:nvPicPr>
        <xdr:cNvPr id="117691" name="Рисунок 228" descr="Lada 8.5.png">
          <a:extLst>
            <a:ext uri="{FF2B5EF4-FFF2-40B4-BE49-F238E27FC236}">
              <a16:creationId xmlns:a16="http://schemas.microsoft.com/office/drawing/2014/main" xmlns="" id="{00000000-0008-0000-0100-0000BB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047875" y="115785900"/>
          <a:ext cx="161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759</xdr:row>
      <xdr:rowOff>28575</xdr:rowOff>
    </xdr:from>
    <xdr:to>
      <xdr:col>2</xdr:col>
      <xdr:colOff>333375</xdr:colOff>
      <xdr:row>759</xdr:row>
      <xdr:rowOff>419100</xdr:rowOff>
    </xdr:to>
    <xdr:pic>
      <xdr:nvPicPr>
        <xdr:cNvPr id="117692" name="Рисунок 229" descr="Lada 1.0.png">
          <a:extLst>
            <a:ext uri="{FF2B5EF4-FFF2-40B4-BE49-F238E27FC236}">
              <a16:creationId xmlns:a16="http://schemas.microsoft.com/office/drawing/2014/main" xmlns="" id="{00000000-0008-0000-0100-0000BC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790700" y="128130300"/>
          <a:ext cx="1714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759</xdr:row>
      <xdr:rowOff>28575</xdr:rowOff>
    </xdr:from>
    <xdr:to>
      <xdr:col>2</xdr:col>
      <xdr:colOff>590550</xdr:colOff>
      <xdr:row>759</xdr:row>
      <xdr:rowOff>409575</xdr:rowOff>
    </xdr:to>
    <xdr:pic>
      <xdr:nvPicPr>
        <xdr:cNvPr id="117693" name="Рисунок 230" descr="Lada 1.3.png">
          <a:extLst>
            <a:ext uri="{FF2B5EF4-FFF2-40B4-BE49-F238E27FC236}">
              <a16:creationId xmlns:a16="http://schemas.microsoft.com/office/drawing/2014/main" xmlns="" id="{00000000-0008-0000-0100-0000BD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047875" y="12813030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760</xdr:row>
      <xdr:rowOff>38100</xdr:rowOff>
    </xdr:from>
    <xdr:to>
      <xdr:col>2</xdr:col>
      <xdr:colOff>333375</xdr:colOff>
      <xdr:row>760</xdr:row>
      <xdr:rowOff>419100</xdr:rowOff>
    </xdr:to>
    <xdr:pic>
      <xdr:nvPicPr>
        <xdr:cNvPr id="117694" name="Рисунок 231" descr="Lada 2.0.png">
          <a:extLst>
            <a:ext uri="{FF2B5EF4-FFF2-40B4-BE49-F238E27FC236}">
              <a16:creationId xmlns:a16="http://schemas.microsoft.com/office/drawing/2014/main" xmlns="" id="{00000000-0008-0000-0100-0000BE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790700" y="12857797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760</xdr:row>
      <xdr:rowOff>28575</xdr:rowOff>
    </xdr:from>
    <xdr:to>
      <xdr:col>2</xdr:col>
      <xdr:colOff>590550</xdr:colOff>
      <xdr:row>760</xdr:row>
      <xdr:rowOff>409575</xdr:rowOff>
    </xdr:to>
    <xdr:pic>
      <xdr:nvPicPr>
        <xdr:cNvPr id="117695" name="Рисунок 232" descr="Lada 2.2.png">
          <a:extLst>
            <a:ext uri="{FF2B5EF4-FFF2-40B4-BE49-F238E27FC236}">
              <a16:creationId xmlns:a16="http://schemas.microsoft.com/office/drawing/2014/main" xmlns="" id="{00000000-0008-0000-0100-0000BF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047875" y="12856845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761</xdr:row>
      <xdr:rowOff>28575</xdr:rowOff>
    </xdr:from>
    <xdr:to>
      <xdr:col>2</xdr:col>
      <xdr:colOff>323850</xdr:colOff>
      <xdr:row>761</xdr:row>
      <xdr:rowOff>409575</xdr:rowOff>
    </xdr:to>
    <xdr:pic>
      <xdr:nvPicPr>
        <xdr:cNvPr id="117696" name="Рисунок 233" descr="Lada 3.0.png">
          <a:extLst>
            <a:ext uri="{FF2B5EF4-FFF2-40B4-BE49-F238E27FC236}">
              <a16:creationId xmlns:a16="http://schemas.microsoft.com/office/drawing/2014/main" xmlns="" id="{00000000-0008-0000-0100-0000C0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781175" y="12900660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761</xdr:row>
      <xdr:rowOff>38100</xdr:rowOff>
    </xdr:from>
    <xdr:to>
      <xdr:col>2</xdr:col>
      <xdr:colOff>590550</xdr:colOff>
      <xdr:row>761</xdr:row>
      <xdr:rowOff>419100</xdr:rowOff>
    </xdr:to>
    <xdr:pic>
      <xdr:nvPicPr>
        <xdr:cNvPr id="117697" name="Рисунок 234" descr="Lada 3.5.png">
          <a:extLst>
            <a:ext uri="{FF2B5EF4-FFF2-40B4-BE49-F238E27FC236}">
              <a16:creationId xmlns:a16="http://schemas.microsoft.com/office/drawing/2014/main" xmlns="" id="{00000000-0008-0000-0100-0000C1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047875" y="12901612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833</xdr:row>
      <xdr:rowOff>28575</xdr:rowOff>
    </xdr:from>
    <xdr:to>
      <xdr:col>2</xdr:col>
      <xdr:colOff>342900</xdr:colOff>
      <xdr:row>833</xdr:row>
      <xdr:rowOff>409575</xdr:rowOff>
    </xdr:to>
    <xdr:pic>
      <xdr:nvPicPr>
        <xdr:cNvPr id="117698" name="Рисунок 235" descr="Lada 4.0.png">
          <a:extLst>
            <a:ext uri="{FF2B5EF4-FFF2-40B4-BE49-F238E27FC236}">
              <a16:creationId xmlns:a16="http://schemas.microsoft.com/office/drawing/2014/main" xmlns="" id="{00000000-0008-0000-0100-0000C2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800225" y="14135100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834</xdr:row>
      <xdr:rowOff>28575</xdr:rowOff>
    </xdr:from>
    <xdr:to>
      <xdr:col>2</xdr:col>
      <xdr:colOff>609600</xdr:colOff>
      <xdr:row>834</xdr:row>
      <xdr:rowOff>409575</xdr:rowOff>
    </xdr:to>
    <xdr:pic>
      <xdr:nvPicPr>
        <xdr:cNvPr id="117699" name="Рисунок 236" descr="Lada 4.8.png">
          <a:extLst>
            <a:ext uri="{FF2B5EF4-FFF2-40B4-BE49-F238E27FC236}">
              <a16:creationId xmlns:a16="http://schemas.microsoft.com/office/drawing/2014/main" xmlns="" id="{00000000-0008-0000-0100-0000C3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066925" y="14178915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834</xdr:row>
      <xdr:rowOff>28575</xdr:rowOff>
    </xdr:from>
    <xdr:to>
      <xdr:col>2</xdr:col>
      <xdr:colOff>342900</xdr:colOff>
      <xdr:row>834</xdr:row>
      <xdr:rowOff>409575</xdr:rowOff>
    </xdr:to>
    <xdr:pic>
      <xdr:nvPicPr>
        <xdr:cNvPr id="117700" name="Рисунок 237" descr="Lada 5.0.png">
          <a:extLst>
            <a:ext uri="{FF2B5EF4-FFF2-40B4-BE49-F238E27FC236}">
              <a16:creationId xmlns:a16="http://schemas.microsoft.com/office/drawing/2014/main" xmlns="" id="{00000000-0008-0000-0100-0000C4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800225" y="14178915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833</xdr:row>
      <xdr:rowOff>38100</xdr:rowOff>
    </xdr:from>
    <xdr:to>
      <xdr:col>2</xdr:col>
      <xdr:colOff>619125</xdr:colOff>
      <xdr:row>833</xdr:row>
      <xdr:rowOff>419100</xdr:rowOff>
    </xdr:to>
    <xdr:pic>
      <xdr:nvPicPr>
        <xdr:cNvPr id="117701" name="Рисунок 238" descr="Lada 5.6.png">
          <a:extLst>
            <a:ext uri="{FF2B5EF4-FFF2-40B4-BE49-F238E27FC236}">
              <a16:creationId xmlns:a16="http://schemas.microsoft.com/office/drawing/2014/main" xmlns="" id="{00000000-0008-0000-0100-0000C5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076450" y="14136052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905</xdr:row>
      <xdr:rowOff>28575</xdr:rowOff>
    </xdr:from>
    <xdr:to>
      <xdr:col>2</xdr:col>
      <xdr:colOff>342900</xdr:colOff>
      <xdr:row>905</xdr:row>
      <xdr:rowOff>409575</xdr:rowOff>
    </xdr:to>
    <xdr:pic>
      <xdr:nvPicPr>
        <xdr:cNvPr id="117702" name="Рисунок 239" descr="Lada 6.0.png">
          <a:extLst>
            <a:ext uri="{FF2B5EF4-FFF2-40B4-BE49-F238E27FC236}">
              <a16:creationId xmlns:a16="http://schemas.microsoft.com/office/drawing/2014/main" xmlns="" id="{00000000-0008-0000-0100-0000C6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800225" y="15413355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905</xdr:row>
      <xdr:rowOff>28575</xdr:rowOff>
    </xdr:from>
    <xdr:to>
      <xdr:col>2</xdr:col>
      <xdr:colOff>590550</xdr:colOff>
      <xdr:row>905</xdr:row>
      <xdr:rowOff>409575</xdr:rowOff>
    </xdr:to>
    <xdr:pic>
      <xdr:nvPicPr>
        <xdr:cNvPr id="117703" name="Рисунок 240" descr="Lada 6.4.png">
          <a:extLst>
            <a:ext uri="{FF2B5EF4-FFF2-40B4-BE49-F238E27FC236}">
              <a16:creationId xmlns:a16="http://schemas.microsoft.com/office/drawing/2014/main" xmlns="" id="{00000000-0008-0000-0100-0000C7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047875" y="15413355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906</xdr:row>
      <xdr:rowOff>28575</xdr:rowOff>
    </xdr:from>
    <xdr:to>
      <xdr:col>2</xdr:col>
      <xdr:colOff>342900</xdr:colOff>
      <xdr:row>906</xdr:row>
      <xdr:rowOff>409575</xdr:rowOff>
    </xdr:to>
    <xdr:pic>
      <xdr:nvPicPr>
        <xdr:cNvPr id="117704" name="Рисунок 241" descr="Lada 7.0.png">
          <a:extLst>
            <a:ext uri="{FF2B5EF4-FFF2-40B4-BE49-F238E27FC236}">
              <a16:creationId xmlns:a16="http://schemas.microsoft.com/office/drawing/2014/main" xmlns="" id="{00000000-0008-0000-0100-0000C8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800225" y="15457170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906</xdr:row>
      <xdr:rowOff>38100</xdr:rowOff>
    </xdr:from>
    <xdr:to>
      <xdr:col>2</xdr:col>
      <xdr:colOff>609600</xdr:colOff>
      <xdr:row>906</xdr:row>
      <xdr:rowOff>419100</xdr:rowOff>
    </xdr:to>
    <xdr:pic>
      <xdr:nvPicPr>
        <xdr:cNvPr id="117705" name="Рисунок 242" descr="Lada 7.2.png">
          <a:extLst>
            <a:ext uri="{FF2B5EF4-FFF2-40B4-BE49-F238E27FC236}">
              <a16:creationId xmlns:a16="http://schemas.microsoft.com/office/drawing/2014/main" xmlns="" id="{00000000-0008-0000-0100-0000C9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066925" y="15458122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978</xdr:row>
      <xdr:rowOff>38100</xdr:rowOff>
    </xdr:from>
    <xdr:to>
      <xdr:col>2</xdr:col>
      <xdr:colOff>333375</xdr:colOff>
      <xdr:row>979</xdr:row>
      <xdr:rowOff>2</xdr:rowOff>
    </xdr:to>
    <xdr:pic>
      <xdr:nvPicPr>
        <xdr:cNvPr id="117706" name="Рисунок 178" descr="Nika 1.0.png">
          <a:extLst>
            <a:ext uri="{FF2B5EF4-FFF2-40B4-BE49-F238E27FC236}">
              <a16:creationId xmlns:a16="http://schemas.microsoft.com/office/drawing/2014/main" xmlns="" id="{00000000-0008-0000-0100-0000CA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781175" y="16692562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978</xdr:row>
      <xdr:rowOff>38100</xdr:rowOff>
    </xdr:from>
    <xdr:to>
      <xdr:col>2</xdr:col>
      <xdr:colOff>590550</xdr:colOff>
      <xdr:row>979</xdr:row>
      <xdr:rowOff>2</xdr:rowOff>
    </xdr:to>
    <xdr:pic>
      <xdr:nvPicPr>
        <xdr:cNvPr id="117707" name="Рисунок 179" descr="Nika 1.8.png">
          <a:extLst>
            <a:ext uri="{FF2B5EF4-FFF2-40B4-BE49-F238E27FC236}">
              <a16:creationId xmlns:a16="http://schemas.microsoft.com/office/drawing/2014/main" xmlns="" id="{00000000-0008-0000-0100-0000CB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047875" y="166925625"/>
          <a:ext cx="1714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979</xdr:row>
      <xdr:rowOff>19050</xdr:rowOff>
    </xdr:from>
    <xdr:to>
      <xdr:col>2</xdr:col>
      <xdr:colOff>314325</xdr:colOff>
      <xdr:row>979</xdr:row>
      <xdr:rowOff>400050</xdr:rowOff>
    </xdr:to>
    <xdr:pic>
      <xdr:nvPicPr>
        <xdr:cNvPr id="117708" name="Рисунок 180" descr="Nika 2.1.png">
          <a:extLst>
            <a:ext uri="{FF2B5EF4-FFF2-40B4-BE49-F238E27FC236}">
              <a16:creationId xmlns:a16="http://schemas.microsoft.com/office/drawing/2014/main" xmlns="" id="{00000000-0008-0000-0100-0000CC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771650" y="16734472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979</xdr:row>
      <xdr:rowOff>19050</xdr:rowOff>
    </xdr:from>
    <xdr:to>
      <xdr:col>2</xdr:col>
      <xdr:colOff>581025</xdr:colOff>
      <xdr:row>979</xdr:row>
      <xdr:rowOff>400050</xdr:rowOff>
    </xdr:to>
    <xdr:pic>
      <xdr:nvPicPr>
        <xdr:cNvPr id="117709" name="Рисунок 181" descr="Nika 2.4.png">
          <a:extLst>
            <a:ext uri="{FF2B5EF4-FFF2-40B4-BE49-F238E27FC236}">
              <a16:creationId xmlns:a16="http://schemas.microsoft.com/office/drawing/2014/main" xmlns="" id="{00000000-0008-0000-0100-0000CD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028825" y="167344725"/>
          <a:ext cx="180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1051</xdr:row>
      <xdr:rowOff>28575</xdr:rowOff>
    </xdr:from>
    <xdr:to>
      <xdr:col>2</xdr:col>
      <xdr:colOff>390525</xdr:colOff>
      <xdr:row>1051</xdr:row>
      <xdr:rowOff>419100</xdr:rowOff>
    </xdr:to>
    <xdr:pic>
      <xdr:nvPicPr>
        <xdr:cNvPr id="117710" name="Рисунок 186" descr="Lisa 2.0.png">
          <a:extLst>
            <a:ext uri="{FF2B5EF4-FFF2-40B4-BE49-F238E27FC236}">
              <a16:creationId xmlns:a16="http://schemas.microsoft.com/office/drawing/2014/main" xmlns="" id="{00000000-0008-0000-0100-0000CE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847850" y="179717700"/>
          <a:ext cx="1714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1051</xdr:row>
      <xdr:rowOff>28575</xdr:rowOff>
    </xdr:from>
    <xdr:to>
      <xdr:col>2</xdr:col>
      <xdr:colOff>590550</xdr:colOff>
      <xdr:row>1051</xdr:row>
      <xdr:rowOff>419100</xdr:rowOff>
    </xdr:to>
    <xdr:pic>
      <xdr:nvPicPr>
        <xdr:cNvPr id="117711" name="Рисунок 187" descr="Lisa 2.2.png">
          <a:extLst>
            <a:ext uri="{FF2B5EF4-FFF2-40B4-BE49-F238E27FC236}">
              <a16:creationId xmlns:a16="http://schemas.microsoft.com/office/drawing/2014/main" xmlns="" id="{00000000-0008-0000-0100-0000CF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038350" y="179717700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1052</xdr:row>
      <xdr:rowOff>19050</xdr:rowOff>
    </xdr:from>
    <xdr:to>
      <xdr:col>2</xdr:col>
      <xdr:colOff>381000</xdr:colOff>
      <xdr:row>1052</xdr:row>
      <xdr:rowOff>409575</xdr:rowOff>
    </xdr:to>
    <xdr:pic>
      <xdr:nvPicPr>
        <xdr:cNvPr id="117712" name="Рисунок 188" descr="Lisa 3.0.png">
          <a:extLst>
            <a:ext uri="{FF2B5EF4-FFF2-40B4-BE49-F238E27FC236}">
              <a16:creationId xmlns:a16="http://schemas.microsoft.com/office/drawing/2014/main" xmlns="" id="{00000000-0008-0000-0100-0000D0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828800" y="18014632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1052</xdr:row>
      <xdr:rowOff>19050</xdr:rowOff>
    </xdr:from>
    <xdr:to>
      <xdr:col>2</xdr:col>
      <xdr:colOff>600075</xdr:colOff>
      <xdr:row>1052</xdr:row>
      <xdr:rowOff>409575</xdr:rowOff>
    </xdr:to>
    <xdr:pic>
      <xdr:nvPicPr>
        <xdr:cNvPr id="117713" name="Рисунок 189" descr="Lisa 3.4.png">
          <a:extLst>
            <a:ext uri="{FF2B5EF4-FFF2-40B4-BE49-F238E27FC236}">
              <a16:creationId xmlns:a16="http://schemas.microsoft.com/office/drawing/2014/main" xmlns="" id="{00000000-0008-0000-0100-0000D1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047875" y="180146325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1450</xdr:row>
      <xdr:rowOff>19050</xdr:rowOff>
    </xdr:from>
    <xdr:to>
      <xdr:col>2</xdr:col>
      <xdr:colOff>333375</xdr:colOff>
      <xdr:row>1450</xdr:row>
      <xdr:rowOff>400050</xdr:rowOff>
    </xdr:to>
    <xdr:pic>
      <xdr:nvPicPr>
        <xdr:cNvPr id="117722" name="Рисунок 210" descr="Tiana 1.0.png">
          <a:extLst>
            <a:ext uri="{FF2B5EF4-FFF2-40B4-BE49-F238E27FC236}">
              <a16:creationId xmlns:a16="http://schemas.microsoft.com/office/drawing/2014/main" xmlns="" id="{00000000-0008-0000-0100-0000DA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790700" y="26180415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1450</xdr:row>
      <xdr:rowOff>28575</xdr:rowOff>
    </xdr:from>
    <xdr:to>
      <xdr:col>2</xdr:col>
      <xdr:colOff>600075</xdr:colOff>
      <xdr:row>1450</xdr:row>
      <xdr:rowOff>409575</xdr:rowOff>
    </xdr:to>
    <xdr:pic>
      <xdr:nvPicPr>
        <xdr:cNvPr id="117723" name="Рисунок 211" descr="Tiana 1.5.png">
          <a:extLst>
            <a:ext uri="{FF2B5EF4-FFF2-40B4-BE49-F238E27FC236}">
              <a16:creationId xmlns:a16="http://schemas.microsoft.com/office/drawing/2014/main" xmlns="" id="{00000000-0008-0000-0100-0000DB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057400" y="26181367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1451</xdr:row>
      <xdr:rowOff>28575</xdr:rowOff>
    </xdr:from>
    <xdr:to>
      <xdr:col>2</xdr:col>
      <xdr:colOff>333375</xdr:colOff>
      <xdr:row>1451</xdr:row>
      <xdr:rowOff>409575</xdr:rowOff>
    </xdr:to>
    <xdr:pic>
      <xdr:nvPicPr>
        <xdr:cNvPr id="117724" name="Рисунок 212" descr="Tiana 1.6.png">
          <a:extLst>
            <a:ext uri="{FF2B5EF4-FFF2-40B4-BE49-F238E27FC236}">
              <a16:creationId xmlns:a16="http://schemas.microsoft.com/office/drawing/2014/main" xmlns="" id="{00000000-0008-0000-0100-0000DC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790700" y="26225182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1451</xdr:row>
      <xdr:rowOff>38100</xdr:rowOff>
    </xdr:from>
    <xdr:to>
      <xdr:col>2</xdr:col>
      <xdr:colOff>600075</xdr:colOff>
      <xdr:row>1451</xdr:row>
      <xdr:rowOff>419100</xdr:rowOff>
    </xdr:to>
    <xdr:pic>
      <xdr:nvPicPr>
        <xdr:cNvPr id="117725" name="Рисунок 213" descr="Tiana 1.9.png">
          <a:extLst>
            <a:ext uri="{FF2B5EF4-FFF2-40B4-BE49-F238E27FC236}">
              <a16:creationId xmlns:a16="http://schemas.microsoft.com/office/drawing/2014/main" xmlns="" id="{00000000-0008-0000-0100-0000DD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057400" y="26226135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1523</xdr:row>
      <xdr:rowOff>28575</xdr:rowOff>
    </xdr:from>
    <xdr:to>
      <xdr:col>2</xdr:col>
      <xdr:colOff>371475</xdr:colOff>
      <xdr:row>1523</xdr:row>
      <xdr:rowOff>409575</xdr:rowOff>
    </xdr:to>
    <xdr:pic>
      <xdr:nvPicPr>
        <xdr:cNvPr id="117726" name="Рисунок 220" descr="Eva 2.0.png">
          <a:extLst>
            <a:ext uri="{FF2B5EF4-FFF2-40B4-BE49-F238E27FC236}">
              <a16:creationId xmlns:a16="http://schemas.microsoft.com/office/drawing/2014/main" xmlns="" id="{00000000-0008-0000-0100-0000DE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828800" y="27458670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1523</xdr:row>
      <xdr:rowOff>28575</xdr:rowOff>
    </xdr:from>
    <xdr:to>
      <xdr:col>2</xdr:col>
      <xdr:colOff>619125</xdr:colOff>
      <xdr:row>1523</xdr:row>
      <xdr:rowOff>419100</xdr:rowOff>
    </xdr:to>
    <xdr:pic>
      <xdr:nvPicPr>
        <xdr:cNvPr id="117727" name="Рисунок 221" descr="Eva 2.2.png">
          <a:extLst>
            <a:ext uri="{FF2B5EF4-FFF2-40B4-BE49-F238E27FC236}">
              <a16:creationId xmlns:a16="http://schemas.microsoft.com/office/drawing/2014/main" xmlns="" id="{00000000-0008-0000-0100-0000DF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076450" y="274586700"/>
          <a:ext cx="1714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1524</xdr:row>
      <xdr:rowOff>38100</xdr:rowOff>
    </xdr:from>
    <xdr:to>
      <xdr:col>2</xdr:col>
      <xdr:colOff>371475</xdr:colOff>
      <xdr:row>1524</xdr:row>
      <xdr:rowOff>419100</xdr:rowOff>
    </xdr:to>
    <xdr:pic>
      <xdr:nvPicPr>
        <xdr:cNvPr id="117728" name="Рисунок 222" descr="Eva 4.0.png">
          <a:extLst>
            <a:ext uri="{FF2B5EF4-FFF2-40B4-BE49-F238E27FC236}">
              <a16:creationId xmlns:a16="http://schemas.microsoft.com/office/drawing/2014/main" xmlns="" id="{00000000-0008-0000-0100-0000E0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828800" y="27503437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1524</xdr:row>
      <xdr:rowOff>28575</xdr:rowOff>
    </xdr:from>
    <xdr:to>
      <xdr:col>2</xdr:col>
      <xdr:colOff>619125</xdr:colOff>
      <xdr:row>1524</xdr:row>
      <xdr:rowOff>409575</xdr:rowOff>
    </xdr:to>
    <xdr:pic>
      <xdr:nvPicPr>
        <xdr:cNvPr id="117729" name="Рисунок 223" descr="Eva 4.4.png">
          <a:extLst>
            <a:ext uri="{FF2B5EF4-FFF2-40B4-BE49-F238E27FC236}">
              <a16:creationId xmlns:a16="http://schemas.microsoft.com/office/drawing/2014/main" xmlns="" id="{00000000-0008-0000-0100-0000E1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076450" y="27502485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1525</xdr:row>
      <xdr:rowOff>28575</xdr:rowOff>
    </xdr:from>
    <xdr:to>
      <xdr:col>2</xdr:col>
      <xdr:colOff>371475</xdr:colOff>
      <xdr:row>1525</xdr:row>
      <xdr:rowOff>409575</xdr:rowOff>
    </xdr:to>
    <xdr:pic>
      <xdr:nvPicPr>
        <xdr:cNvPr id="117730" name="Рисунок 224" descr="Eva 4.5.png">
          <a:extLst>
            <a:ext uri="{FF2B5EF4-FFF2-40B4-BE49-F238E27FC236}">
              <a16:creationId xmlns:a16="http://schemas.microsoft.com/office/drawing/2014/main" xmlns="" id="{00000000-0008-0000-0100-0000E2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828800" y="27546300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1525</xdr:row>
      <xdr:rowOff>28575</xdr:rowOff>
    </xdr:from>
    <xdr:to>
      <xdr:col>2</xdr:col>
      <xdr:colOff>619125</xdr:colOff>
      <xdr:row>1525</xdr:row>
      <xdr:rowOff>409575</xdr:rowOff>
    </xdr:to>
    <xdr:pic>
      <xdr:nvPicPr>
        <xdr:cNvPr id="117731" name="Рисунок 225" descr="Eva 4.6.png">
          <a:extLst>
            <a:ext uri="{FF2B5EF4-FFF2-40B4-BE49-F238E27FC236}">
              <a16:creationId xmlns:a16="http://schemas.microsoft.com/office/drawing/2014/main" xmlns="" id="{00000000-0008-0000-0100-0000E3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076450" y="275463000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2031</xdr:row>
      <xdr:rowOff>19050</xdr:rowOff>
    </xdr:from>
    <xdr:to>
      <xdr:col>2</xdr:col>
      <xdr:colOff>381000</xdr:colOff>
      <xdr:row>2031</xdr:row>
      <xdr:rowOff>419100</xdr:rowOff>
    </xdr:to>
    <xdr:pic>
      <xdr:nvPicPr>
        <xdr:cNvPr id="117737" name="Рисунок 217" descr="L1.0.png">
          <a:extLst>
            <a:ext uri="{FF2B5EF4-FFF2-40B4-BE49-F238E27FC236}">
              <a16:creationId xmlns:a16="http://schemas.microsoft.com/office/drawing/2014/main" xmlns="" id="{00000000-0008-0000-0100-0000E9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914525" y="384381375"/>
          <a:ext cx="952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2032</xdr:row>
      <xdr:rowOff>9525</xdr:rowOff>
    </xdr:from>
    <xdr:to>
      <xdr:col>2</xdr:col>
      <xdr:colOff>266700</xdr:colOff>
      <xdr:row>2032</xdr:row>
      <xdr:rowOff>409575</xdr:rowOff>
    </xdr:to>
    <xdr:pic>
      <xdr:nvPicPr>
        <xdr:cNvPr id="117738" name="Рисунок 219" descr="L3.0.png">
          <a:extLst>
            <a:ext uri="{FF2B5EF4-FFF2-40B4-BE49-F238E27FC236}">
              <a16:creationId xmlns:a16="http://schemas.microsoft.com/office/drawing/2014/main" xmlns="" id="{00000000-0008-0000-0100-0000EA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800225" y="384810000"/>
          <a:ext cx="952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2032</xdr:row>
      <xdr:rowOff>19050</xdr:rowOff>
    </xdr:from>
    <xdr:to>
      <xdr:col>2</xdr:col>
      <xdr:colOff>447675</xdr:colOff>
      <xdr:row>2032</xdr:row>
      <xdr:rowOff>409575</xdr:rowOff>
    </xdr:to>
    <xdr:pic>
      <xdr:nvPicPr>
        <xdr:cNvPr id="117739" name="Рисунок 220" descr="L3.1.png">
          <a:extLst>
            <a:ext uri="{FF2B5EF4-FFF2-40B4-BE49-F238E27FC236}">
              <a16:creationId xmlns:a16="http://schemas.microsoft.com/office/drawing/2014/main" xmlns="" id="{00000000-0008-0000-0100-0000EB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990725" y="384819525"/>
          <a:ext cx="85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2032</xdr:row>
      <xdr:rowOff>19050</xdr:rowOff>
    </xdr:from>
    <xdr:to>
      <xdr:col>2</xdr:col>
      <xdr:colOff>628650</xdr:colOff>
      <xdr:row>2032</xdr:row>
      <xdr:rowOff>409575</xdr:rowOff>
    </xdr:to>
    <xdr:pic>
      <xdr:nvPicPr>
        <xdr:cNvPr id="117740" name="Рисунок 221" descr="L3.2.png">
          <a:extLst>
            <a:ext uri="{FF2B5EF4-FFF2-40B4-BE49-F238E27FC236}">
              <a16:creationId xmlns:a16="http://schemas.microsoft.com/office/drawing/2014/main" xmlns="" id="{00000000-0008-0000-0100-0000EC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171700" y="384819525"/>
          <a:ext cx="85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2033</xdr:row>
      <xdr:rowOff>28575</xdr:rowOff>
    </xdr:from>
    <xdr:to>
      <xdr:col>2</xdr:col>
      <xdr:colOff>371475</xdr:colOff>
      <xdr:row>2034</xdr:row>
      <xdr:rowOff>9524</xdr:rowOff>
    </xdr:to>
    <xdr:pic>
      <xdr:nvPicPr>
        <xdr:cNvPr id="117741" name="Рисунок 222" descr="L4.0.png">
          <a:extLst>
            <a:ext uri="{FF2B5EF4-FFF2-40B4-BE49-F238E27FC236}">
              <a16:creationId xmlns:a16="http://schemas.microsoft.com/office/drawing/2014/main" xmlns="" id="{00000000-0008-0000-0100-0000ED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00" y="385267200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2033</xdr:row>
      <xdr:rowOff>19050</xdr:rowOff>
    </xdr:from>
    <xdr:to>
      <xdr:col>2</xdr:col>
      <xdr:colOff>542925</xdr:colOff>
      <xdr:row>2033</xdr:row>
      <xdr:rowOff>419100</xdr:rowOff>
    </xdr:to>
    <xdr:pic>
      <xdr:nvPicPr>
        <xdr:cNvPr id="117742" name="Рисунок 223" descr="L4.1.png">
          <a:extLst>
            <a:ext uri="{FF2B5EF4-FFF2-40B4-BE49-F238E27FC236}">
              <a16:creationId xmlns:a16="http://schemas.microsoft.com/office/drawing/2014/main" xmlns="" id="{00000000-0008-0000-0100-0000EE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076450" y="385257675"/>
          <a:ext cx="952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2034</xdr:row>
      <xdr:rowOff>28575</xdr:rowOff>
    </xdr:from>
    <xdr:to>
      <xdr:col>2</xdr:col>
      <xdr:colOff>361950</xdr:colOff>
      <xdr:row>2034</xdr:row>
      <xdr:rowOff>419100</xdr:rowOff>
    </xdr:to>
    <xdr:pic>
      <xdr:nvPicPr>
        <xdr:cNvPr id="117743" name="Рисунок 224" descr="L5.0.png">
          <a:extLst>
            <a:ext uri="{FF2B5EF4-FFF2-40B4-BE49-F238E27FC236}">
              <a16:creationId xmlns:a16="http://schemas.microsoft.com/office/drawing/2014/main" xmlns="" id="{00000000-0008-0000-0100-0000EF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905000" y="385705350"/>
          <a:ext cx="85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2034</xdr:row>
      <xdr:rowOff>9525</xdr:rowOff>
    </xdr:from>
    <xdr:to>
      <xdr:col>2</xdr:col>
      <xdr:colOff>542925</xdr:colOff>
      <xdr:row>2034</xdr:row>
      <xdr:rowOff>409575</xdr:rowOff>
    </xdr:to>
    <xdr:pic>
      <xdr:nvPicPr>
        <xdr:cNvPr id="117744" name="Рисунок 225" descr="L5.1.png">
          <a:extLst>
            <a:ext uri="{FF2B5EF4-FFF2-40B4-BE49-F238E27FC236}">
              <a16:creationId xmlns:a16="http://schemas.microsoft.com/office/drawing/2014/main" xmlns="" id="{00000000-0008-0000-0100-0000F0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076450" y="385686300"/>
          <a:ext cx="952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2035</xdr:row>
      <xdr:rowOff>19050</xdr:rowOff>
    </xdr:from>
    <xdr:to>
      <xdr:col>2</xdr:col>
      <xdr:colOff>352425</xdr:colOff>
      <xdr:row>2035</xdr:row>
      <xdr:rowOff>419100</xdr:rowOff>
    </xdr:to>
    <xdr:pic>
      <xdr:nvPicPr>
        <xdr:cNvPr id="117745" name="Рисунок 226" descr="L6.0.png">
          <a:extLst>
            <a:ext uri="{FF2B5EF4-FFF2-40B4-BE49-F238E27FC236}">
              <a16:creationId xmlns:a16="http://schemas.microsoft.com/office/drawing/2014/main" xmlns="" id="{00000000-0008-0000-0100-0000F1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895475" y="386133975"/>
          <a:ext cx="857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2035</xdr:row>
      <xdr:rowOff>28575</xdr:rowOff>
    </xdr:from>
    <xdr:to>
      <xdr:col>2</xdr:col>
      <xdr:colOff>533400</xdr:colOff>
      <xdr:row>2035</xdr:row>
      <xdr:rowOff>419100</xdr:rowOff>
    </xdr:to>
    <xdr:pic>
      <xdr:nvPicPr>
        <xdr:cNvPr id="117746" name="Рисунок 227" descr="L6.1.png">
          <a:extLst>
            <a:ext uri="{FF2B5EF4-FFF2-40B4-BE49-F238E27FC236}">
              <a16:creationId xmlns:a16="http://schemas.microsoft.com/office/drawing/2014/main" xmlns="" id="{00000000-0008-0000-0100-0000F2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076450" y="386143500"/>
          <a:ext cx="85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2031</xdr:row>
      <xdr:rowOff>28575</xdr:rowOff>
    </xdr:from>
    <xdr:to>
      <xdr:col>2</xdr:col>
      <xdr:colOff>533400</xdr:colOff>
      <xdr:row>2031</xdr:row>
      <xdr:rowOff>419100</xdr:rowOff>
    </xdr:to>
    <xdr:pic>
      <xdr:nvPicPr>
        <xdr:cNvPr id="117747" name="Рисунок 228" descr="L1.1.png">
          <a:extLst>
            <a:ext uri="{FF2B5EF4-FFF2-40B4-BE49-F238E27FC236}">
              <a16:creationId xmlns:a16="http://schemas.microsoft.com/office/drawing/2014/main" xmlns="" id="{00000000-0008-0000-0100-0000F3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066925" y="384390900"/>
          <a:ext cx="952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1051</xdr:row>
      <xdr:rowOff>28575</xdr:rowOff>
    </xdr:from>
    <xdr:to>
      <xdr:col>2</xdr:col>
      <xdr:colOff>371475</xdr:colOff>
      <xdr:row>1051</xdr:row>
      <xdr:rowOff>419100</xdr:rowOff>
    </xdr:to>
    <xdr:pic>
      <xdr:nvPicPr>
        <xdr:cNvPr id="117748" name="Рисунок 186" descr="Lisa 2.0.png">
          <a:extLst>
            <a:ext uri="{FF2B5EF4-FFF2-40B4-BE49-F238E27FC236}">
              <a16:creationId xmlns:a16="http://schemas.microsoft.com/office/drawing/2014/main" xmlns="" id="{00000000-0008-0000-0100-0000F4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819275" y="179717700"/>
          <a:ext cx="18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2222</xdr:row>
      <xdr:rowOff>76200</xdr:rowOff>
    </xdr:from>
    <xdr:to>
      <xdr:col>2</xdr:col>
      <xdr:colOff>704850</xdr:colOff>
      <xdr:row>2223</xdr:row>
      <xdr:rowOff>352426</xdr:rowOff>
    </xdr:to>
    <xdr:pic>
      <xdr:nvPicPr>
        <xdr:cNvPr id="117755" name="Рисунок 241" descr="Standard D80 стандартная деревянная коробка1.jpg">
          <a:extLst>
            <a:ext uri="{FF2B5EF4-FFF2-40B4-BE49-F238E27FC236}">
              <a16:creationId xmlns:a16="http://schemas.microsoft.com/office/drawing/2014/main" xmlns="" id="{00000000-0008-0000-0100-0000FB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85925" y="419633400"/>
          <a:ext cx="6477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2296</xdr:row>
      <xdr:rowOff>85725</xdr:rowOff>
    </xdr:from>
    <xdr:to>
      <xdr:col>2</xdr:col>
      <xdr:colOff>704850</xdr:colOff>
      <xdr:row>2299</xdr:row>
      <xdr:rowOff>47626</xdr:rowOff>
    </xdr:to>
    <xdr:pic>
      <xdr:nvPicPr>
        <xdr:cNvPr id="117756" name="Рисунок 242" descr="58_PAGE1.jpg">
          <a:extLst>
            <a:ext uri="{FF2B5EF4-FFF2-40B4-BE49-F238E27FC236}">
              <a16:creationId xmlns:a16="http://schemas.microsoft.com/office/drawing/2014/main" xmlns="" id="{00000000-0008-0000-0100-0000FC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724025" y="434597175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2368</xdr:row>
      <xdr:rowOff>66675</xdr:rowOff>
    </xdr:from>
    <xdr:to>
      <xdr:col>2</xdr:col>
      <xdr:colOff>723900</xdr:colOff>
      <xdr:row>2371</xdr:row>
      <xdr:rowOff>76202</xdr:rowOff>
    </xdr:to>
    <xdr:pic>
      <xdr:nvPicPr>
        <xdr:cNvPr id="117757" name="Рисунок 243" descr="60_PAGE1.jpg">
          <a:extLst>
            <a:ext uri="{FF2B5EF4-FFF2-40B4-BE49-F238E27FC236}">
              <a16:creationId xmlns:a16="http://schemas.microsoft.com/office/drawing/2014/main" xmlns="" id="{00000000-0008-0000-0100-0000FD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743075" y="4479607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2436</xdr:row>
      <xdr:rowOff>114300</xdr:rowOff>
    </xdr:from>
    <xdr:to>
      <xdr:col>2</xdr:col>
      <xdr:colOff>723900</xdr:colOff>
      <xdr:row>2439</xdr:row>
      <xdr:rowOff>76195</xdr:rowOff>
    </xdr:to>
    <xdr:pic>
      <xdr:nvPicPr>
        <xdr:cNvPr id="117758" name="Рисунок 244" descr="62_PAGE1.jpg">
          <a:extLst>
            <a:ext uri="{FF2B5EF4-FFF2-40B4-BE49-F238E27FC236}">
              <a16:creationId xmlns:a16="http://schemas.microsoft.com/office/drawing/2014/main" xmlns="" id="{00000000-0008-0000-0100-0000FE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743075" y="459762225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368</xdr:row>
      <xdr:rowOff>47625</xdr:rowOff>
    </xdr:from>
    <xdr:to>
      <xdr:col>2</xdr:col>
      <xdr:colOff>504825</xdr:colOff>
      <xdr:row>369</xdr:row>
      <xdr:rowOff>1</xdr:rowOff>
    </xdr:to>
    <xdr:pic>
      <xdr:nvPicPr>
        <xdr:cNvPr id="117759" name="Рисунок 221" descr="B_5.jpg">
          <a:extLst>
            <a:ext uri="{FF2B5EF4-FFF2-40B4-BE49-F238E27FC236}">
              <a16:creationId xmlns:a16="http://schemas.microsoft.com/office/drawing/2014/main" xmlns="" id="{00000000-0008-0000-0100-0000FFC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 l="27406" t="12793" r="27354" b="6847"/>
        <a:stretch>
          <a:fillRect/>
        </a:stretch>
      </xdr:blipFill>
      <xdr:spPr bwMode="auto">
        <a:xfrm>
          <a:off x="1962150" y="102422325"/>
          <a:ext cx="171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1323975</xdr:colOff>
      <xdr:row>2715</xdr:row>
      <xdr:rowOff>28575</xdr:rowOff>
    </xdr:from>
    <xdr:to>
      <xdr:col>2</xdr:col>
      <xdr:colOff>695325</xdr:colOff>
      <xdr:row>2715</xdr:row>
      <xdr:rowOff>390525</xdr:rowOff>
    </xdr:to>
    <xdr:pic>
      <xdr:nvPicPr>
        <xdr:cNvPr id="117760" name="Рисунок 212" descr="HANDY  (срібна матова, фото 2).png">
          <a:extLst>
            <a:ext uri="{FF2B5EF4-FFF2-40B4-BE49-F238E27FC236}">
              <a16:creationId xmlns:a16="http://schemas.microsoft.com/office/drawing/2014/main" xmlns="" id="{00000000-0008-0000-0100-000000C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 l="1350" t="26553" b="35219"/>
        <a:stretch>
          <a:fillRect/>
        </a:stretch>
      </xdr:blipFill>
      <xdr:spPr bwMode="auto">
        <a:xfrm>
          <a:off x="1390650" y="4983480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1333500</xdr:colOff>
      <xdr:row>2717</xdr:row>
      <xdr:rowOff>28575</xdr:rowOff>
    </xdr:from>
    <xdr:to>
      <xdr:col>2</xdr:col>
      <xdr:colOff>752475</xdr:colOff>
      <xdr:row>2717</xdr:row>
      <xdr:rowOff>390525</xdr:rowOff>
    </xdr:to>
    <xdr:pic>
      <xdr:nvPicPr>
        <xdr:cNvPr id="117761" name="Рисунок 213" descr="7424.970.jpg">
          <a:extLst>
            <a:ext uri="{FF2B5EF4-FFF2-40B4-BE49-F238E27FC236}">
              <a16:creationId xmlns:a16="http://schemas.microsoft.com/office/drawing/2014/main" xmlns="" id="{00000000-0008-0000-0100-000001C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 l="3374" t="32771" b="31566"/>
        <a:stretch>
          <a:fillRect/>
        </a:stretch>
      </xdr:blipFill>
      <xdr:spPr bwMode="auto">
        <a:xfrm>
          <a:off x="1400175" y="499224300"/>
          <a:ext cx="981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1371600</xdr:colOff>
      <xdr:row>2713</xdr:row>
      <xdr:rowOff>38100</xdr:rowOff>
    </xdr:from>
    <xdr:to>
      <xdr:col>2</xdr:col>
      <xdr:colOff>704850</xdr:colOff>
      <xdr:row>2714</xdr:row>
      <xdr:rowOff>814</xdr:rowOff>
    </xdr:to>
    <xdr:pic>
      <xdr:nvPicPr>
        <xdr:cNvPr id="117762" name="Рисунок 214" descr="Verona_silver-mat.png">
          <a:extLst>
            <a:ext uri="{FF2B5EF4-FFF2-40B4-BE49-F238E27FC236}">
              <a16:creationId xmlns:a16="http://schemas.microsoft.com/office/drawing/2014/main" xmlns="" id="{00000000-0008-0000-0100-000002C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438275" y="497481225"/>
          <a:ext cx="895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1343025</xdr:colOff>
      <xdr:row>2716</xdr:row>
      <xdr:rowOff>38100</xdr:rowOff>
    </xdr:from>
    <xdr:to>
      <xdr:col>2</xdr:col>
      <xdr:colOff>752475</xdr:colOff>
      <xdr:row>2717</xdr:row>
      <xdr:rowOff>5</xdr:rowOff>
    </xdr:to>
    <xdr:pic>
      <xdr:nvPicPr>
        <xdr:cNvPr id="117763" name="Рисунок 215" descr="Prius (2) - брашированный мат.хром.jpg">
          <a:extLst>
            <a:ext uri="{FF2B5EF4-FFF2-40B4-BE49-F238E27FC236}">
              <a16:creationId xmlns:a16="http://schemas.microsoft.com/office/drawing/2014/main" xmlns="" id="{00000000-0008-0000-0100-000003C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 t="26994" b="31287"/>
        <a:stretch>
          <a:fillRect/>
        </a:stretch>
      </xdr:blipFill>
      <xdr:spPr bwMode="auto">
        <a:xfrm>
          <a:off x="1409700" y="498795675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71718</xdr:colOff>
      <xdr:row>586</xdr:row>
      <xdr:rowOff>7164</xdr:rowOff>
    </xdr:from>
    <xdr:to>
      <xdr:col>2</xdr:col>
      <xdr:colOff>464467</xdr:colOff>
      <xdr:row>587</xdr:row>
      <xdr:rowOff>6093</xdr:rowOff>
    </xdr:to>
    <xdr:pic>
      <xdr:nvPicPr>
        <xdr:cNvPr id="193" name="Рисунок 192" descr="1.0.png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 flipV="1">
          <a:off x="1748118" y="72444789"/>
          <a:ext cx="392749" cy="441842"/>
        </a:xfrm>
        <a:prstGeom prst="rect">
          <a:avLst/>
        </a:prstGeom>
      </xdr:spPr>
    </xdr:pic>
    <xdr:clientData/>
  </xdr:twoCellAnchor>
  <xdr:twoCellAnchor editAs="oneCell">
    <xdr:from>
      <xdr:col>2</xdr:col>
      <xdr:colOff>347224</xdr:colOff>
      <xdr:row>586</xdr:row>
      <xdr:rowOff>4763</xdr:rowOff>
    </xdr:from>
    <xdr:to>
      <xdr:col>2</xdr:col>
      <xdr:colOff>739973</xdr:colOff>
      <xdr:row>587</xdr:row>
      <xdr:rowOff>3692</xdr:rowOff>
    </xdr:to>
    <xdr:pic>
      <xdr:nvPicPr>
        <xdr:cNvPr id="194" name="Рисунок 193" descr="1.1.png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 flipV="1">
          <a:off x="2023624" y="72442388"/>
          <a:ext cx="392749" cy="441842"/>
        </a:xfrm>
        <a:prstGeom prst="rect">
          <a:avLst/>
        </a:prstGeom>
      </xdr:spPr>
    </xdr:pic>
    <xdr:clientData/>
  </xdr:twoCellAnchor>
  <xdr:twoCellAnchor editAs="oneCell">
    <xdr:from>
      <xdr:col>2</xdr:col>
      <xdr:colOff>215646</xdr:colOff>
      <xdr:row>587</xdr:row>
      <xdr:rowOff>13855</xdr:rowOff>
    </xdr:from>
    <xdr:to>
      <xdr:col>2</xdr:col>
      <xdr:colOff>588687</xdr:colOff>
      <xdr:row>588</xdr:row>
      <xdr:rowOff>453</xdr:rowOff>
    </xdr:to>
    <xdr:pic>
      <xdr:nvPicPr>
        <xdr:cNvPr id="195" name="Рисунок 194" descr="1a.1.png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892046" y="71714742"/>
          <a:ext cx="373041" cy="424746"/>
        </a:xfrm>
        <a:prstGeom prst="rect">
          <a:avLst/>
        </a:prstGeom>
      </xdr:spPr>
    </xdr:pic>
    <xdr:clientData/>
  </xdr:twoCellAnchor>
  <xdr:twoCellAnchor editAs="oneCell">
    <xdr:from>
      <xdr:col>2</xdr:col>
      <xdr:colOff>84707</xdr:colOff>
      <xdr:row>588</xdr:row>
      <xdr:rowOff>13853</xdr:rowOff>
    </xdr:from>
    <xdr:to>
      <xdr:col>2</xdr:col>
      <xdr:colOff>458409</xdr:colOff>
      <xdr:row>589</xdr:row>
      <xdr:rowOff>1313</xdr:rowOff>
    </xdr:to>
    <xdr:pic>
      <xdr:nvPicPr>
        <xdr:cNvPr id="196" name="Рисунок 195" descr="2.0.png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761107" y="73377135"/>
          <a:ext cx="373702" cy="420415"/>
        </a:xfrm>
        <a:prstGeom prst="rect">
          <a:avLst/>
        </a:prstGeom>
      </xdr:spPr>
    </xdr:pic>
    <xdr:clientData/>
  </xdr:twoCellAnchor>
  <xdr:twoCellAnchor editAs="oneCell">
    <xdr:from>
      <xdr:col>2</xdr:col>
      <xdr:colOff>362712</xdr:colOff>
      <xdr:row>588</xdr:row>
      <xdr:rowOff>18380</xdr:rowOff>
    </xdr:from>
    <xdr:to>
      <xdr:col>2</xdr:col>
      <xdr:colOff>737756</xdr:colOff>
      <xdr:row>589</xdr:row>
      <xdr:rowOff>644</xdr:rowOff>
    </xdr:to>
    <xdr:pic>
      <xdr:nvPicPr>
        <xdr:cNvPr id="197" name="Рисунок 196" descr="2.1.png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991815" y="111749914"/>
          <a:ext cx="375044" cy="422385"/>
        </a:xfrm>
        <a:prstGeom prst="rect">
          <a:avLst/>
        </a:prstGeom>
      </xdr:spPr>
    </xdr:pic>
    <xdr:clientData/>
  </xdr:twoCellAnchor>
  <xdr:twoCellAnchor editAs="oneCell">
    <xdr:from>
      <xdr:col>2</xdr:col>
      <xdr:colOff>221087</xdr:colOff>
      <xdr:row>589</xdr:row>
      <xdr:rowOff>10391</xdr:rowOff>
    </xdr:from>
    <xdr:to>
      <xdr:col>2</xdr:col>
      <xdr:colOff>596205</xdr:colOff>
      <xdr:row>590</xdr:row>
      <xdr:rowOff>1612</xdr:rowOff>
    </xdr:to>
    <xdr:pic>
      <xdr:nvPicPr>
        <xdr:cNvPr id="198" name="Рисунок 197" descr="2a.1.png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897487" y="72599174"/>
          <a:ext cx="375118" cy="419846"/>
        </a:xfrm>
        <a:prstGeom prst="rect">
          <a:avLst/>
        </a:prstGeom>
      </xdr:spPr>
    </xdr:pic>
    <xdr:clientData/>
  </xdr:twoCellAnchor>
  <xdr:twoCellAnchor editAs="oneCell">
    <xdr:from>
      <xdr:col>2</xdr:col>
      <xdr:colOff>88925</xdr:colOff>
      <xdr:row>590</xdr:row>
      <xdr:rowOff>9530</xdr:rowOff>
    </xdr:from>
    <xdr:to>
      <xdr:col>2</xdr:col>
      <xdr:colOff>469079</xdr:colOff>
      <xdr:row>591</xdr:row>
      <xdr:rowOff>1821</xdr:rowOff>
    </xdr:to>
    <xdr:pic>
      <xdr:nvPicPr>
        <xdr:cNvPr id="199" name="Рисунок 198" descr="3.0.png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765325" y="73785998"/>
          <a:ext cx="380154" cy="434623"/>
        </a:xfrm>
        <a:prstGeom prst="rect">
          <a:avLst/>
        </a:prstGeom>
      </xdr:spPr>
    </xdr:pic>
    <xdr:clientData/>
  </xdr:twoCellAnchor>
  <xdr:twoCellAnchor editAs="oneCell">
    <xdr:from>
      <xdr:col>2</xdr:col>
      <xdr:colOff>385492</xdr:colOff>
      <xdr:row>590</xdr:row>
      <xdr:rowOff>11152</xdr:rowOff>
    </xdr:from>
    <xdr:to>
      <xdr:col>2</xdr:col>
      <xdr:colOff>762740</xdr:colOff>
      <xdr:row>591</xdr:row>
      <xdr:rowOff>3717</xdr:rowOff>
    </xdr:to>
    <xdr:pic>
      <xdr:nvPicPr>
        <xdr:cNvPr id="200" name="Рисунок 199" descr="3.1.png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2061892" y="73787620"/>
          <a:ext cx="377248" cy="434897"/>
        </a:xfrm>
        <a:prstGeom prst="rect">
          <a:avLst/>
        </a:prstGeom>
      </xdr:spPr>
    </xdr:pic>
    <xdr:clientData/>
  </xdr:twoCellAnchor>
  <xdr:twoCellAnchor editAs="oneCell">
    <xdr:from>
      <xdr:col>2</xdr:col>
      <xdr:colOff>188260</xdr:colOff>
      <xdr:row>2472</xdr:row>
      <xdr:rowOff>58899</xdr:rowOff>
    </xdr:from>
    <xdr:to>
      <xdr:col>2</xdr:col>
      <xdr:colOff>683045</xdr:colOff>
      <xdr:row>2479</xdr:row>
      <xdr:rowOff>17928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F192C64-5D10-47B0-88B5-817BA08D8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64660" y="439186052"/>
          <a:ext cx="494785" cy="1142371"/>
        </a:xfrm>
        <a:prstGeom prst="rect">
          <a:avLst/>
        </a:prstGeom>
      </xdr:spPr>
    </xdr:pic>
    <xdr:clientData/>
  </xdr:twoCellAnchor>
  <xdr:oneCellAnchor>
    <xdr:from>
      <xdr:col>2</xdr:col>
      <xdr:colOff>28575</xdr:colOff>
      <xdr:row>2444</xdr:row>
      <xdr:rowOff>66675</xdr:rowOff>
    </xdr:from>
    <xdr:ext cx="742950" cy="314325"/>
    <xdr:pic>
      <xdr:nvPicPr>
        <xdr:cNvPr id="202" name="Picture 637" descr="asdfadsfadsf">
          <a:extLst>
            <a:ext uri="{FF2B5EF4-FFF2-40B4-BE49-F238E27FC236}">
              <a16:creationId xmlns:a16="http://schemas.microsoft.com/office/drawing/2014/main" xmlns="" id="{33AAA832-92DF-43A1-89CF-BB1BE80A1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704975" y="435484361"/>
          <a:ext cx="7429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207370</xdr:colOff>
      <xdr:row>636</xdr:row>
      <xdr:rowOff>5027</xdr:rowOff>
    </xdr:from>
    <xdr:to>
      <xdr:col>2</xdr:col>
      <xdr:colOff>391173</xdr:colOff>
      <xdr:row>636</xdr:row>
      <xdr:rowOff>432183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B28D7B7-522D-4E01-A084-407096641C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373" t="5883" r="31512" b="6583"/>
        <a:stretch/>
      </xdr:blipFill>
      <xdr:spPr>
        <a:xfrm flipH="1">
          <a:off x="1883770" y="84030181"/>
          <a:ext cx="183803" cy="427156"/>
        </a:xfrm>
        <a:prstGeom prst="rect">
          <a:avLst/>
        </a:prstGeom>
      </xdr:spPr>
    </xdr:pic>
    <xdr:clientData/>
  </xdr:twoCellAnchor>
  <xdr:twoCellAnchor editAs="oneCell">
    <xdr:from>
      <xdr:col>2</xdr:col>
      <xdr:colOff>502486</xdr:colOff>
      <xdr:row>636</xdr:row>
      <xdr:rowOff>5864</xdr:rowOff>
    </xdr:from>
    <xdr:to>
      <xdr:col>2</xdr:col>
      <xdr:colOff>679940</xdr:colOff>
      <xdr:row>636</xdr:row>
      <xdr:rowOff>432327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A318D17-CACF-4D56-AA34-AD9CDC1B4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263" t="6053" r="31202" b="6552"/>
        <a:stretch/>
      </xdr:blipFill>
      <xdr:spPr>
        <a:xfrm flipH="1">
          <a:off x="2178886" y="84031018"/>
          <a:ext cx="177454" cy="426463"/>
        </a:xfrm>
        <a:prstGeom prst="rect">
          <a:avLst/>
        </a:prstGeom>
      </xdr:spPr>
    </xdr:pic>
    <xdr:clientData/>
  </xdr:twoCellAnchor>
  <xdr:twoCellAnchor editAs="oneCell">
    <xdr:from>
      <xdr:col>2</xdr:col>
      <xdr:colOff>498340</xdr:colOff>
      <xdr:row>637</xdr:row>
      <xdr:rowOff>25172</xdr:rowOff>
    </xdr:from>
    <xdr:to>
      <xdr:col>2</xdr:col>
      <xdr:colOff>674581</xdr:colOff>
      <xdr:row>638</xdr:row>
      <xdr:rowOff>5863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5FE9DAF0-5CBF-492B-938F-D64DE2C736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488" t="6114" r="31833" b="6459"/>
        <a:stretch/>
      </xdr:blipFill>
      <xdr:spPr>
        <a:xfrm flipH="1">
          <a:off x="2174740" y="84489941"/>
          <a:ext cx="176241" cy="420307"/>
        </a:xfrm>
        <a:prstGeom prst="rect">
          <a:avLst/>
        </a:prstGeom>
      </xdr:spPr>
    </xdr:pic>
    <xdr:clientData/>
  </xdr:twoCellAnchor>
  <xdr:twoCellAnchor editAs="oneCell">
    <xdr:from>
      <xdr:col>2</xdr:col>
      <xdr:colOff>197330</xdr:colOff>
      <xdr:row>637</xdr:row>
      <xdr:rowOff>16206</xdr:rowOff>
    </xdr:from>
    <xdr:to>
      <xdr:col>2</xdr:col>
      <xdr:colOff>375234</xdr:colOff>
      <xdr:row>638</xdr:row>
      <xdr:rowOff>592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126E13AD-7DA6-4234-B222-9D993D2EF7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519" t="5913" r="31457" b="6428"/>
        <a:stretch/>
      </xdr:blipFill>
      <xdr:spPr>
        <a:xfrm flipH="1">
          <a:off x="1873730" y="84480975"/>
          <a:ext cx="177904" cy="421415"/>
        </a:xfrm>
        <a:prstGeom prst="rect">
          <a:avLst/>
        </a:prstGeom>
      </xdr:spPr>
    </xdr:pic>
    <xdr:clientData/>
  </xdr:twoCellAnchor>
  <xdr:twoCellAnchor editAs="oneCell">
    <xdr:from>
      <xdr:col>2</xdr:col>
      <xdr:colOff>345831</xdr:colOff>
      <xdr:row>638</xdr:row>
      <xdr:rowOff>11723</xdr:rowOff>
    </xdr:from>
    <xdr:to>
      <xdr:col>2</xdr:col>
      <xdr:colOff>527389</xdr:colOff>
      <xdr:row>639</xdr:row>
      <xdr:rowOff>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A84F5AD6-277C-4BE0-B292-F9162AF551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402" t="6168" r="31402" b="6168"/>
        <a:stretch/>
      </xdr:blipFill>
      <xdr:spPr>
        <a:xfrm>
          <a:off x="2022231" y="84916108"/>
          <a:ext cx="181558" cy="427892"/>
        </a:xfrm>
        <a:prstGeom prst="rect">
          <a:avLst/>
        </a:prstGeom>
      </xdr:spPr>
    </xdr:pic>
    <xdr:clientData/>
  </xdr:twoCellAnchor>
  <xdr:twoCellAnchor editAs="oneCell">
    <xdr:from>
      <xdr:col>2</xdr:col>
      <xdr:colOff>166470</xdr:colOff>
      <xdr:row>639</xdr:row>
      <xdr:rowOff>7619</xdr:rowOff>
    </xdr:from>
    <xdr:to>
      <xdr:col>2</xdr:col>
      <xdr:colOff>350969</xdr:colOff>
      <xdr:row>640</xdr:row>
      <xdr:rowOff>3549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518FEFB0-04E1-4AFC-A793-A1B8E76E48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274" t="6018" r="31325" b="5995"/>
        <a:stretch/>
      </xdr:blipFill>
      <xdr:spPr>
        <a:xfrm>
          <a:off x="1842870" y="85351619"/>
          <a:ext cx="184499" cy="431996"/>
        </a:xfrm>
        <a:prstGeom prst="rect">
          <a:avLst/>
        </a:prstGeom>
      </xdr:spPr>
    </xdr:pic>
    <xdr:clientData/>
  </xdr:twoCellAnchor>
  <xdr:twoCellAnchor editAs="oneCell">
    <xdr:from>
      <xdr:col>2</xdr:col>
      <xdr:colOff>508195</xdr:colOff>
      <xdr:row>639</xdr:row>
      <xdr:rowOff>7619</xdr:rowOff>
    </xdr:from>
    <xdr:to>
      <xdr:col>2</xdr:col>
      <xdr:colOff>688850</xdr:colOff>
      <xdr:row>640</xdr:row>
      <xdr:rowOff>3549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5E6E32D8-41B7-4697-98D9-802857BA2D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786" t="5507" r="31592" b="6658"/>
        <a:stretch/>
      </xdr:blipFill>
      <xdr:spPr>
        <a:xfrm>
          <a:off x="2184595" y="85351619"/>
          <a:ext cx="180655" cy="431996"/>
        </a:xfrm>
        <a:prstGeom prst="rect">
          <a:avLst/>
        </a:prstGeom>
      </xdr:spPr>
    </xdr:pic>
    <xdr:clientData/>
  </xdr:twoCellAnchor>
  <xdr:twoCellAnchor editAs="oneCell">
    <xdr:from>
      <xdr:col>2</xdr:col>
      <xdr:colOff>91109</xdr:colOff>
      <xdr:row>417</xdr:row>
      <xdr:rowOff>24846</xdr:rowOff>
    </xdr:from>
    <xdr:to>
      <xdr:col>2</xdr:col>
      <xdr:colOff>873814</xdr:colOff>
      <xdr:row>417</xdr:row>
      <xdr:rowOff>666746</xdr:rowOff>
    </xdr:to>
    <xdr:pic>
      <xdr:nvPicPr>
        <xdr:cNvPr id="205" name="Рисунок 204" descr="torec-chernyj-250x250.jpg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 t="17990"/>
        <a:stretch>
          <a:fillRect/>
        </a:stretch>
      </xdr:blipFill>
      <xdr:spPr>
        <a:xfrm>
          <a:off x="1722783" y="78154694"/>
          <a:ext cx="782705" cy="641900"/>
        </a:xfrm>
        <a:prstGeom prst="rect">
          <a:avLst/>
        </a:prstGeom>
      </xdr:spPr>
    </xdr:pic>
    <xdr:clientData/>
  </xdr:twoCellAnchor>
  <xdr:twoCellAnchor editAs="oneCell">
    <xdr:from>
      <xdr:col>2</xdr:col>
      <xdr:colOff>108587</xdr:colOff>
      <xdr:row>416</xdr:row>
      <xdr:rowOff>8283</xdr:rowOff>
    </xdr:from>
    <xdr:to>
      <xdr:col>2</xdr:col>
      <xdr:colOff>891292</xdr:colOff>
      <xdr:row>417</xdr:row>
      <xdr:rowOff>911</xdr:rowOff>
    </xdr:to>
    <xdr:pic>
      <xdr:nvPicPr>
        <xdr:cNvPr id="206" name="Рисунок 205" descr="torec-seryj-250x250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 t="15756"/>
        <a:stretch>
          <a:fillRect/>
        </a:stretch>
      </xdr:blipFill>
      <xdr:spPr>
        <a:xfrm>
          <a:off x="1740261" y="77467240"/>
          <a:ext cx="782705" cy="659378"/>
        </a:xfrm>
        <a:prstGeom prst="rect">
          <a:avLst/>
        </a:prstGeom>
      </xdr:spPr>
    </xdr:pic>
    <xdr:clientData/>
  </xdr:twoCellAnchor>
  <xdr:twoCellAnchor editAs="oneCell">
    <xdr:from>
      <xdr:col>2</xdr:col>
      <xdr:colOff>77497</xdr:colOff>
      <xdr:row>469</xdr:row>
      <xdr:rowOff>17794</xdr:rowOff>
    </xdr:from>
    <xdr:to>
      <xdr:col>2</xdr:col>
      <xdr:colOff>398172</xdr:colOff>
      <xdr:row>469</xdr:row>
      <xdr:rowOff>432288</xdr:rowOff>
    </xdr:to>
    <xdr:pic>
      <xdr:nvPicPr>
        <xdr:cNvPr id="207" name="Рисунок 206" descr="1 (4).png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 flipH="1">
          <a:off x="1704074" y="88087409"/>
          <a:ext cx="320675" cy="414494"/>
        </a:xfrm>
        <a:prstGeom prst="rect">
          <a:avLst/>
        </a:prstGeom>
      </xdr:spPr>
    </xdr:pic>
    <xdr:clientData/>
  </xdr:twoCellAnchor>
  <xdr:twoCellAnchor editAs="oneCell">
    <xdr:from>
      <xdr:col>2</xdr:col>
      <xdr:colOff>522907</xdr:colOff>
      <xdr:row>469</xdr:row>
      <xdr:rowOff>16818</xdr:rowOff>
    </xdr:from>
    <xdr:to>
      <xdr:col>2</xdr:col>
      <xdr:colOff>841581</xdr:colOff>
      <xdr:row>469</xdr:row>
      <xdr:rowOff>431286</xdr:rowOff>
    </xdr:to>
    <xdr:pic>
      <xdr:nvPicPr>
        <xdr:cNvPr id="208" name="Рисунок 207" descr="2 (2).png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 flipH="1">
          <a:off x="2149484" y="88086433"/>
          <a:ext cx="318674" cy="414468"/>
        </a:xfrm>
        <a:prstGeom prst="rect">
          <a:avLst/>
        </a:prstGeom>
      </xdr:spPr>
    </xdr:pic>
    <xdr:clientData/>
  </xdr:twoCellAnchor>
  <xdr:twoCellAnchor editAs="oneCell">
    <xdr:from>
      <xdr:col>2</xdr:col>
      <xdr:colOff>512857</xdr:colOff>
      <xdr:row>467</xdr:row>
      <xdr:rowOff>16368</xdr:rowOff>
    </xdr:from>
    <xdr:to>
      <xdr:col>2</xdr:col>
      <xdr:colOff>832127</xdr:colOff>
      <xdr:row>467</xdr:row>
      <xdr:rowOff>424547</xdr:rowOff>
    </xdr:to>
    <xdr:pic>
      <xdr:nvPicPr>
        <xdr:cNvPr id="209" name="Рисунок 208" descr="3 (2).png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 flipH="1">
          <a:off x="2139434" y="87206753"/>
          <a:ext cx="319270" cy="408179"/>
        </a:xfrm>
        <a:prstGeom prst="rect">
          <a:avLst/>
        </a:prstGeom>
      </xdr:spPr>
    </xdr:pic>
    <xdr:clientData/>
  </xdr:twoCellAnchor>
  <xdr:twoCellAnchor editAs="oneCell">
    <xdr:from>
      <xdr:col>2</xdr:col>
      <xdr:colOff>84029</xdr:colOff>
      <xdr:row>467</xdr:row>
      <xdr:rowOff>23006</xdr:rowOff>
    </xdr:from>
    <xdr:to>
      <xdr:col>2</xdr:col>
      <xdr:colOff>403299</xdr:colOff>
      <xdr:row>467</xdr:row>
      <xdr:rowOff>431160</xdr:rowOff>
    </xdr:to>
    <xdr:pic>
      <xdr:nvPicPr>
        <xdr:cNvPr id="210" name="Рисунок 209" descr="4 (3).png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 flipH="1">
          <a:off x="1710606" y="87213391"/>
          <a:ext cx="319270" cy="408154"/>
        </a:xfrm>
        <a:prstGeom prst="rect">
          <a:avLst/>
        </a:prstGeom>
      </xdr:spPr>
    </xdr:pic>
    <xdr:clientData/>
  </xdr:twoCellAnchor>
  <xdr:twoCellAnchor editAs="oneCell">
    <xdr:from>
      <xdr:col>2</xdr:col>
      <xdr:colOff>516017</xdr:colOff>
      <xdr:row>468</xdr:row>
      <xdr:rowOff>14339</xdr:rowOff>
    </xdr:from>
    <xdr:to>
      <xdr:col>2</xdr:col>
      <xdr:colOff>837360</xdr:colOff>
      <xdr:row>468</xdr:row>
      <xdr:rowOff>428625</xdr:rowOff>
    </xdr:to>
    <xdr:pic>
      <xdr:nvPicPr>
        <xdr:cNvPr id="211" name="Рисунок 210" descr="5 (2).png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 flipH="1">
          <a:off x="2142594" y="87644339"/>
          <a:ext cx="321343" cy="4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75267</xdr:colOff>
      <xdr:row>468</xdr:row>
      <xdr:rowOff>25443</xdr:rowOff>
    </xdr:from>
    <xdr:to>
      <xdr:col>2</xdr:col>
      <xdr:colOff>396660</xdr:colOff>
      <xdr:row>469</xdr:row>
      <xdr:rowOff>794</xdr:rowOff>
    </xdr:to>
    <xdr:pic>
      <xdr:nvPicPr>
        <xdr:cNvPr id="212" name="Рисунок 211" descr="6 (3).png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 flipH="1">
          <a:off x="1701844" y="87655443"/>
          <a:ext cx="321393" cy="410780"/>
        </a:xfrm>
        <a:prstGeom prst="rect">
          <a:avLst/>
        </a:prstGeom>
      </xdr:spPr>
    </xdr:pic>
    <xdr:clientData/>
  </xdr:twoCellAnchor>
  <xdr:twoCellAnchor editAs="oneCell">
    <xdr:from>
      <xdr:col>2</xdr:col>
      <xdr:colOff>77954</xdr:colOff>
      <xdr:row>470</xdr:row>
      <xdr:rowOff>23439</xdr:rowOff>
    </xdr:from>
    <xdr:to>
      <xdr:col>2</xdr:col>
      <xdr:colOff>390679</xdr:colOff>
      <xdr:row>470</xdr:row>
      <xdr:rowOff>423915</xdr:rowOff>
    </xdr:to>
    <xdr:pic>
      <xdr:nvPicPr>
        <xdr:cNvPr id="213" name="Рисунок 212" descr="7 (3).png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 flipH="1">
          <a:off x="1704531" y="88532670"/>
          <a:ext cx="312725" cy="400476"/>
        </a:xfrm>
        <a:prstGeom prst="rect">
          <a:avLst/>
        </a:prstGeom>
      </xdr:spPr>
    </xdr:pic>
    <xdr:clientData/>
  </xdr:twoCellAnchor>
  <xdr:twoCellAnchor editAs="oneCell">
    <xdr:from>
      <xdr:col>2</xdr:col>
      <xdr:colOff>537191</xdr:colOff>
      <xdr:row>470</xdr:row>
      <xdr:rowOff>38730</xdr:rowOff>
    </xdr:from>
    <xdr:to>
      <xdr:col>2</xdr:col>
      <xdr:colOff>845044</xdr:colOff>
      <xdr:row>471</xdr:row>
      <xdr:rowOff>3777</xdr:rowOff>
    </xdr:to>
    <xdr:pic>
      <xdr:nvPicPr>
        <xdr:cNvPr id="214" name="Рисунок 213" descr="8 (1).png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 flipH="1">
          <a:off x="2163768" y="88547961"/>
          <a:ext cx="307853" cy="400476"/>
        </a:xfrm>
        <a:prstGeom prst="rect">
          <a:avLst/>
        </a:prstGeom>
      </xdr:spPr>
    </xdr:pic>
    <xdr:clientData/>
  </xdr:twoCellAnchor>
  <xdr:twoCellAnchor editAs="oneCell">
    <xdr:from>
      <xdr:col>2</xdr:col>
      <xdr:colOff>146229</xdr:colOff>
      <xdr:row>514</xdr:row>
      <xdr:rowOff>7493</xdr:rowOff>
    </xdr:from>
    <xdr:to>
      <xdr:col>2</xdr:col>
      <xdr:colOff>538978</xdr:colOff>
      <xdr:row>515</xdr:row>
      <xdr:rowOff>8299</xdr:rowOff>
    </xdr:to>
    <xdr:pic>
      <xdr:nvPicPr>
        <xdr:cNvPr id="221" name="Рисунок 220" descr="1.0.png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 flipV="1">
          <a:off x="1779086" y="94604350"/>
          <a:ext cx="392749" cy="436235"/>
        </a:xfrm>
        <a:prstGeom prst="rect">
          <a:avLst/>
        </a:prstGeom>
      </xdr:spPr>
    </xdr:pic>
    <xdr:clientData/>
  </xdr:twoCellAnchor>
  <xdr:twoCellAnchor editAs="oneCell">
    <xdr:from>
      <xdr:col>2</xdr:col>
      <xdr:colOff>421735</xdr:colOff>
      <xdr:row>514</xdr:row>
      <xdr:rowOff>5092</xdr:rowOff>
    </xdr:from>
    <xdr:to>
      <xdr:col>2</xdr:col>
      <xdr:colOff>814484</xdr:colOff>
      <xdr:row>515</xdr:row>
      <xdr:rowOff>5898</xdr:rowOff>
    </xdr:to>
    <xdr:pic>
      <xdr:nvPicPr>
        <xdr:cNvPr id="222" name="Рисунок 221" descr="1.1.png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 flipV="1">
          <a:off x="2054592" y="94601949"/>
          <a:ext cx="392749" cy="43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159218</xdr:colOff>
      <xdr:row>515</xdr:row>
      <xdr:rowOff>61107</xdr:rowOff>
    </xdr:from>
    <xdr:to>
      <xdr:col>2</xdr:col>
      <xdr:colOff>532920</xdr:colOff>
      <xdr:row>516</xdr:row>
      <xdr:rowOff>39183</xdr:rowOff>
    </xdr:to>
    <xdr:pic>
      <xdr:nvPicPr>
        <xdr:cNvPr id="224" name="Рисунок 223" descr="2.0.png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792075" y="95093393"/>
          <a:ext cx="373702" cy="413504"/>
        </a:xfrm>
        <a:prstGeom prst="rect">
          <a:avLst/>
        </a:prstGeom>
      </xdr:spPr>
    </xdr:pic>
    <xdr:clientData/>
  </xdr:twoCellAnchor>
  <xdr:twoCellAnchor editAs="oneCell">
    <xdr:from>
      <xdr:col>2</xdr:col>
      <xdr:colOff>437223</xdr:colOff>
      <xdr:row>515</xdr:row>
      <xdr:rowOff>65634</xdr:rowOff>
    </xdr:from>
    <xdr:to>
      <xdr:col>2</xdr:col>
      <xdr:colOff>812267</xdr:colOff>
      <xdr:row>516</xdr:row>
      <xdr:rowOff>38514</xdr:rowOff>
    </xdr:to>
    <xdr:pic>
      <xdr:nvPicPr>
        <xdr:cNvPr id="225" name="Рисунок 224" descr="2.1.png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2070080" y="95097920"/>
          <a:ext cx="375044" cy="408308"/>
        </a:xfrm>
        <a:prstGeom prst="rect">
          <a:avLst/>
        </a:prstGeom>
      </xdr:spPr>
    </xdr:pic>
    <xdr:clientData/>
  </xdr:twoCellAnchor>
  <xdr:twoCellAnchor editAs="oneCell">
    <xdr:from>
      <xdr:col>2</xdr:col>
      <xdr:colOff>295598</xdr:colOff>
      <xdr:row>516</xdr:row>
      <xdr:rowOff>41223</xdr:rowOff>
    </xdr:from>
    <xdr:to>
      <xdr:col>2</xdr:col>
      <xdr:colOff>670716</xdr:colOff>
      <xdr:row>517</xdr:row>
      <xdr:rowOff>23059</xdr:rowOff>
    </xdr:to>
    <xdr:pic>
      <xdr:nvPicPr>
        <xdr:cNvPr id="226" name="Рисунок 225" descr="2a.1.png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928455" y="95508937"/>
          <a:ext cx="375118" cy="417265"/>
        </a:xfrm>
        <a:prstGeom prst="rect">
          <a:avLst/>
        </a:prstGeom>
      </xdr:spPr>
    </xdr:pic>
    <xdr:clientData/>
  </xdr:twoCellAnchor>
  <xdr:twoCellAnchor editAs="oneCell">
    <xdr:from>
      <xdr:col>2</xdr:col>
      <xdr:colOff>163436</xdr:colOff>
      <xdr:row>517</xdr:row>
      <xdr:rowOff>30977</xdr:rowOff>
    </xdr:from>
    <xdr:to>
      <xdr:col>2</xdr:col>
      <xdr:colOff>543590</xdr:colOff>
      <xdr:row>518</xdr:row>
      <xdr:rowOff>13885</xdr:rowOff>
    </xdr:to>
    <xdr:pic>
      <xdr:nvPicPr>
        <xdr:cNvPr id="227" name="Рисунок 226" descr="3.0.png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796293" y="95934120"/>
          <a:ext cx="380154" cy="418336"/>
        </a:xfrm>
        <a:prstGeom prst="rect">
          <a:avLst/>
        </a:prstGeom>
      </xdr:spPr>
    </xdr:pic>
    <xdr:clientData/>
  </xdr:twoCellAnchor>
  <xdr:twoCellAnchor editAs="oneCell">
    <xdr:from>
      <xdr:col>2</xdr:col>
      <xdr:colOff>460003</xdr:colOff>
      <xdr:row>517</xdr:row>
      <xdr:rowOff>32599</xdr:rowOff>
    </xdr:from>
    <xdr:to>
      <xdr:col>2</xdr:col>
      <xdr:colOff>837251</xdr:colOff>
      <xdr:row>518</xdr:row>
      <xdr:rowOff>15781</xdr:rowOff>
    </xdr:to>
    <xdr:pic>
      <xdr:nvPicPr>
        <xdr:cNvPr id="228" name="Рисунок 227" descr="3.1.png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2092860" y="95935742"/>
          <a:ext cx="377248" cy="418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2</xdr:col>
      <xdr:colOff>352425</xdr:colOff>
      <xdr:row>3</xdr:row>
      <xdr:rowOff>104775</xdr:rowOff>
    </xdr:to>
    <xdr:pic>
      <xdr:nvPicPr>
        <xdr:cNvPr id="3744" name="Picture 383" descr="123">
          <a:extLst>
            <a:ext uri="{FF2B5EF4-FFF2-40B4-BE49-F238E27FC236}">
              <a16:creationId xmlns:a16="http://schemas.microsoft.com/office/drawing/2014/main" xmlns="" id="{00000000-0008-0000-0200-0000A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827"/>
        <a:stretch>
          <a:fillRect/>
        </a:stretch>
      </xdr:blipFill>
      <xdr:spPr bwMode="auto">
        <a:xfrm>
          <a:off x="85725" y="161925"/>
          <a:ext cx="15144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indexed="11"/>
  </sheetPr>
  <dimension ref="A1:I53"/>
  <sheetViews>
    <sheetView showGridLines="0" workbookViewId="0">
      <selection activeCell="C44" sqref="C44"/>
    </sheetView>
  </sheetViews>
  <sheetFormatPr defaultColWidth="9.140625" defaultRowHeight="11.25"/>
  <cols>
    <col min="1" max="1" width="2.5703125" style="71" customWidth="1"/>
    <col min="2" max="2" width="5.140625" style="71" customWidth="1"/>
    <col min="3" max="3" width="41.28515625" style="71" bestFit="1" customWidth="1"/>
    <col min="4" max="4" width="9.140625" style="71"/>
    <col min="5" max="5" width="10.28515625" style="71" customWidth="1"/>
    <col min="6" max="8" width="9.140625" style="71"/>
    <col min="9" max="9" width="0" style="71" hidden="1" customWidth="1"/>
    <col min="10" max="16384" width="9.140625" style="71"/>
  </cols>
  <sheetData>
    <row r="1" spans="2:9" ht="5.0999999999999996" customHeight="1"/>
    <row r="2" spans="2:9">
      <c r="B2" s="535" t="str">
        <f>IF($E$4="ENG","VERSION: 62.00.25","ВЕРСІЯ: 62.00.25")</f>
        <v>ВЕРСІЯ: 62.00.25</v>
      </c>
      <c r="C2" s="535"/>
      <c r="D2" s="81" t="str">
        <f>IF($E$4="ENG","valid from:  
september 2025","діє з: 1 вересня 2025 р.")</f>
        <v>діє з: 1 вересня 2025 р.</v>
      </c>
      <c r="I2" s="202" t="s">
        <v>57</v>
      </c>
    </row>
    <row r="3" spans="2:9">
      <c r="I3" s="202" t="s">
        <v>6</v>
      </c>
    </row>
    <row r="4" spans="2:9">
      <c r="D4" s="201" t="str">
        <f>IF(E4="ENG","choose language:","оберіть мову:")</f>
        <v>оберіть мову:</v>
      </c>
      <c r="E4" s="204" t="s">
        <v>57</v>
      </c>
    </row>
    <row r="6" spans="2:9" ht="5.0999999999999996" customHeight="1"/>
    <row r="7" spans="2:9" ht="12.75">
      <c r="B7" s="72" t="str">
        <f>IF($E$4="ENG","INTERIOR DOOR LEAFS","ДВЕРІ МІЖКІМНАТНІ ЛАМІНОВАНІ")</f>
        <v>ДВЕРІ МІЖКІМНАТНІ ЛАМІНОВАНІ</v>
      </c>
    </row>
    <row r="8" spans="2:9">
      <c r="C8" s="73" t="str">
        <f>IF($E$4="ENG","Door leafs: STANDARD","Полотна каркасно-щитові: СТАНДАРТ")</f>
        <v>Полотна каркасно-щитові: СТАНДАРТ</v>
      </c>
      <c r="D8" s="74"/>
      <c r="E8" s="75"/>
    </row>
    <row r="9" spans="2:9">
      <c r="C9" s="76" t="str">
        <f>IF($E$4="ENG","Door leafs: KUPAVA","Полотна каркасно-щитові: КУПАВА")</f>
        <v>Полотна каркасно-щитові: КУПАВА</v>
      </c>
      <c r="D9" s="77"/>
      <c r="E9" s="78"/>
    </row>
    <row r="10" spans="2:9">
      <c r="C10" s="76" t="str">
        <f>IF($E$4="ENG","Door leafs: GEOMETRY","Полотна каркасно-щитові: ГЕОМЕТРІЯ")</f>
        <v>Полотна каркасно-щитові: ГЕОМЕТРІЯ</v>
      </c>
      <c r="D10" s="77"/>
      <c r="E10" s="78"/>
    </row>
    <row r="11" spans="2:9">
      <c r="C11" s="76" t="str">
        <f>IF($E$4="ENG","Door leafs: IDEA","Полотна каркасно-щитові: ІДЕЯ")</f>
        <v>Полотна каркасно-щитові: ІДЕЯ</v>
      </c>
      <c r="D11" s="109"/>
      <c r="E11" s="78"/>
    </row>
    <row r="12" spans="2:9">
      <c r="C12" s="76" t="str">
        <f>IF($E$4="ENG","Door leafs: IDEA-LOFT","Полотна каркасно-щитові: ІДЕЯ-ЛОФТ")</f>
        <v>Полотна каркасно-щитові: ІДЕЯ-ЛОФТ</v>
      </c>
      <c r="D12" s="109"/>
      <c r="E12" s="320"/>
    </row>
    <row r="13" spans="2:9">
      <c r="C13" s="76" t="str">
        <f>IF($E$4="ENG","Door leafs: IDEA-ALUM","Полотна каркасно-щитові: ІДЕЯ-АЛЮМ")</f>
        <v>Полотна каркасно-щитові: ІДЕЯ-АЛЮМ</v>
      </c>
      <c r="D13" s="109"/>
      <c r="E13" s="320"/>
    </row>
    <row r="14" spans="2:9">
      <c r="C14" s="76" t="str">
        <f>IF($E$4="ENG","Wooden Door leafs:SOHO","Полотна збірні: СОХО")</f>
        <v>Полотна збірні: СОХО</v>
      </c>
      <c r="D14" s="109"/>
      <c r="E14" s="320"/>
    </row>
    <row r="15" spans="2:9">
      <c r="C15" s="76" t="str">
        <f>IF($E$4="ENG","Wooden Door leafs:Modena","Полотна збірні: МОДЕНА")</f>
        <v>Полотна збірні: МОДЕНА</v>
      </c>
      <c r="D15" s="109"/>
      <c r="E15" s="320"/>
    </row>
    <row r="16" spans="2:9">
      <c r="C16" s="76" t="str">
        <f>IF($E$4="ENG","Wooden Door leafs:Classic","Полотна збірні: КЛАСІК")</f>
        <v>Полотна збірні: КЛАСІК</v>
      </c>
      <c r="D16" s="109"/>
      <c r="E16" s="320"/>
    </row>
    <row r="17" spans="1:7">
      <c r="C17" s="76" t="str">
        <f>IF($E$4="ENG","Wooden Door leafs:Provence","Полотна збірні: ПРОВАНС")</f>
        <v>Полотна збірні: ПРОВАНС</v>
      </c>
      <c r="D17" s="109"/>
      <c r="E17" s="320"/>
    </row>
    <row r="18" spans="1:7">
      <c r="C18" s="76" t="str">
        <f>IF($E$4="ENG","Wooden Door leafs: LADA A","Полотна збірні: ЛАДА A")</f>
        <v>Полотна збірні: ЛАДА A</v>
      </c>
      <c r="D18" s="109"/>
      <c r="E18" s="320"/>
    </row>
    <row r="19" spans="1:7">
      <c r="C19" s="76" t="str">
        <f>IF($E$4="ENG","Wooden Door leafs: LADA B","Полотна збірні: ЛАДА B")</f>
        <v>Полотна збірні: ЛАДА B</v>
      </c>
      <c r="D19" s="109"/>
      <c r="E19" s="320"/>
    </row>
    <row r="20" spans="1:7">
      <c r="C20" s="76" t="str">
        <f>IF($E$4="ENG","Wooden Door leafs: LADA C","Полотна збірні: ЛАДА C")</f>
        <v>Полотна збірні: ЛАДА C</v>
      </c>
      <c r="D20" s="109"/>
      <c r="E20" s="320"/>
    </row>
    <row r="21" spans="1:7">
      <c r="C21" s="76" t="str">
        <f>IF($E$4="ENG","Wooden Door leafs: LADA D","Полотна збірні: ЛАДА D")</f>
        <v>Полотна збірні: ЛАДА D</v>
      </c>
      <c r="D21" s="109"/>
      <c r="E21" s="320"/>
    </row>
    <row r="22" spans="1:7">
      <c r="C22" s="76" t="str">
        <f>IF($E$4="ENG","Wooden Door leafs: NIKA","Полотна збірні: НІКА")</f>
        <v>Полотна збірні: НІКА</v>
      </c>
      <c r="D22" s="109"/>
      <c r="E22" s="320"/>
    </row>
    <row r="23" spans="1:7">
      <c r="C23" s="76" t="str">
        <f>IF($E$4="ENG","Wooden Door leafs: LISA","Полотна збірні: ЛІСА")</f>
        <v>Полотна збірні: ЛІСА</v>
      </c>
      <c r="D23" s="109"/>
      <c r="E23" s="320"/>
    </row>
    <row r="24" spans="1:7">
      <c r="C24" s="76" t="str">
        <f>IF($E$4="ENG","Wooden Door leafs: LADA-CONCEPT","Полотна збірні: ЛАДА-КОНЦЕПТ")</f>
        <v>Полотна збірні: ЛАДА-КОНЦЕПТ</v>
      </c>
      <c r="D24" s="109"/>
      <c r="E24" s="78"/>
    </row>
    <row r="25" spans="1:7">
      <c r="A25" s="79"/>
      <c r="B25" s="79"/>
      <c r="C25" s="76" t="str">
        <f>IF($E$4="ENG","Wooden Door leafs: LADA-NOVA","Полотна збірні: ЛАДА-НОВА")</f>
        <v>Полотна збірні: ЛАДА-НОВА</v>
      </c>
      <c r="D25" s="109"/>
      <c r="E25" s="78"/>
    </row>
    <row r="26" spans="1:7">
      <c r="B26" s="111"/>
      <c r="C26" s="76" t="str">
        <f>IF($E$4="ENG","Wooden Door leafs: LADA-LOFT","Полотна збірні: ЛАДА-ЛОФТ")</f>
        <v>Полотна збірні: ЛАДА-ЛОФТ</v>
      </c>
      <c r="D26" s="109"/>
      <c r="E26" s="78"/>
    </row>
    <row r="27" spans="1:7">
      <c r="C27" s="76" t="str">
        <f>IF($E$4="ENG","Wooden Door leafs: TIANA","Полотна збірні: ТІАНА")</f>
        <v>Полотна збірні: ТІАНА</v>
      </c>
      <c r="D27" s="109"/>
      <c r="E27" s="320"/>
    </row>
    <row r="28" spans="1:7">
      <c r="C28" s="76" t="str">
        <f>IF($E$4="ENG","Wooden Door leafs: EVA","Полотна збірні: ЄВА")</f>
        <v>Полотна збірні: ЄВА</v>
      </c>
      <c r="D28" s="109"/>
      <c r="E28" s="320"/>
    </row>
    <row r="29" spans="1:7">
      <c r="C29" s="76" t="str">
        <f>IF($E$4="ENG","Glass Door leafs: LINEYA","Полотна скляні: ЛІНЕЯ")</f>
        <v>Полотна скляні: ЛІНЕЯ</v>
      </c>
      <c r="D29" s="77"/>
      <c r="E29" s="78"/>
    </row>
    <row r="30" spans="1:7">
      <c r="C30" s="76" t="str">
        <f>IF($E$4="ENG","Glass Door leafs: LINE","Полотна скляні: ЛАЙН")</f>
        <v>Полотна скляні: ЛАЙН</v>
      </c>
      <c r="D30" s="109"/>
      <c r="E30" s="78"/>
    </row>
    <row r="31" spans="1:7">
      <c r="C31" s="76" t="str">
        <f>IF($E$4="ENG","Glass Door leafs: ELEGANT","Полотна скляні: ЕЛЕГАНТ")</f>
        <v>Полотна скляні: ЕЛЕГАНТ</v>
      </c>
      <c r="D31" s="109"/>
      <c r="E31" s="78"/>
    </row>
    <row r="32" spans="1:7">
      <c r="C32" s="76" t="str">
        <f>IF($E$4="ENG","Glass Door leafs: GLASSFORD","Полотна скляні: ГЛАСФОРД")</f>
        <v>Полотна скляні: ГЛАСФОРД</v>
      </c>
      <c r="D32" s="77"/>
      <c r="E32" s="78"/>
      <c r="G32" s="203"/>
    </row>
    <row r="33" spans="2:7">
      <c r="C33" s="76" t="str">
        <f>IF($E$4="ENG","Side Panel LADA","Полотна: ДОБОР LADA")</f>
        <v>Полотна: ДОБОР LADA</v>
      </c>
      <c r="D33" s="77"/>
      <c r="E33" s="320"/>
    </row>
    <row r="34" spans="2:7">
      <c r="C34" s="76" t="str">
        <f>IF($E$4="ENG","Side Panels","Полотна: ДОБОРИ")</f>
        <v>Полотна: ДОБОРИ</v>
      </c>
      <c r="D34" s="77"/>
      <c r="E34" s="78"/>
    </row>
    <row r="36" spans="2:7" ht="12.75">
      <c r="B36" s="72" t="str">
        <f>IF($E$4="ENG","DOOR SLIDING SYSTEMS","РОЗСУВНІ СИСТЕМИ")</f>
        <v>РОЗСУВНІ СИСТЕМИ</v>
      </c>
      <c r="G36" s="203"/>
    </row>
    <row r="37" spans="2:7">
      <c r="C37" s="73" t="str">
        <f>IF($E$4="ENG","Sliding System Verto-SLIDE","Розсувна система Verto-SLIDE")</f>
        <v>Розсувна система Verto-SLIDE</v>
      </c>
      <c r="D37" s="110"/>
      <c r="E37" s="75"/>
    </row>
    <row r="39" spans="2:7" ht="12.75">
      <c r="B39" s="72" t="str">
        <f>IF($E$4="ENG","DOOR FRAMES, TRANSOMS AND PLINTHS","ДВЕРНІ КОРОБКИ, ФРАМУГИ ТА ПЛІНТУСИ")</f>
        <v>ДВЕРНІ КОРОБКИ, ФРАМУГИ ТА ПЛІНТУСИ</v>
      </c>
    </row>
    <row r="40" spans="2:7">
      <c r="C40" s="87" t="str">
        <f>IF($E$4="ENG","Door Frame: STANDART","Дверна коробка STANDARD")</f>
        <v>Дверна коробка STANDARD</v>
      </c>
      <c r="D40" s="110"/>
      <c r="E40" s="75"/>
    </row>
    <row r="41" spans="2:7" hidden="1">
      <c r="C41" s="73" t="str">
        <f>IF($E$4="ENG","Door Frame: STANDART","Дверна коробка STANDARD - Алюм")</f>
        <v>Дверна коробка STANDARD - Алюм</v>
      </c>
      <c r="D41" s="110"/>
      <c r="E41" s="75"/>
    </row>
    <row r="42" spans="2:7">
      <c r="C42" s="76" t="str">
        <f>IF($E$4="ENG","Door Frame: Verto-FIT","Дверна коробка Verto-FIT")</f>
        <v>Дверна коробка Verto-FIT</v>
      </c>
      <c r="D42" s="110"/>
      <c r="E42" s="78"/>
    </row>
    <row r="43" spans="2:7">
      <c r="C43" s="76" t="str">
        <f>IF($E$4="ENG","Door Frame: Verto-FIT Plus","Дверна коробка Verto-FIT Plus")</f>
        <v>Дверна коробка Verto-FIT Plus</v>
      </c>
      <c r="D43" s="110"/>
      <c r="E43" s="78"/>
    </row>
    <row r="44" spans="2:7">
      <c r="C44" s="76" t="str">
        <f>IF($E$4="ENG","Door Frame: Verto-FIT Comfort","Дверна коробка Verto-FIT Comfort")</f>
        <v>Дверна коробка Verto-FIT Comfort</v>
      </c>
      <c r="D44" s="110"/>
      <c r="E44" s="78"/>
      <c r="G44" s="203"/>
    </row>
    <row r="45" spans="2:7">
      <c r="C45" s="76" t="str">
        <f>IF($E$4="ENG","Door Frame: Verto-FIT Comfort Inside","Дверна коробка Verto-FIT Comfort Inside")</f>
        <v>Дверна коробка Verto-FIT Comfort Inside</v>
      </c>
      <c r="D45" s="110"/>
      <c r="E45" s="78"/>
      <c r="G45" s="203"/>
    </row>
    <row r="46" spans="2:7">
      <c r="C46" s="76" t="str">
        <f>IF($E$4="ENG","Plinths","Плінтуси")</f>
        <v>Плінтуси</v>
      </c>
      <c r="D46" s="110"/>
      <c r="E46" s="78"/>
    </row>
    <row r="47" spans="2:7">
      <c r="C47" s="76" t="str">
        <f>IF($E$4="ENG","Transoms","Фрамуги")</f>
        <v>Фрамуги</v>
      </c>
      <c r="D47" s="110"/>
      <c r="E47" s="78"/>
    </row>
    <row r="49" spans="2:5" ht="12.75">
      <c r="B49" s="72" t="str">
        <f>IF($E$4="ENG","OTHER DOOR ACCESSORIES","ІНШІ АКСЕСУАРИ")</f>
        <v>ІНШІ АКСЕСУАРИ</v>
      </c>
    </row>
    <row r="50" spans="2:5" ht="12.75">
      <c r="B50" s="72"/>
      <c r="C50" s="181" t="str">
        <f>IF($E$4="ENG","Door handles","Дверні Ручки")</f>
        <v>Дверні Ручки</v>
      </c>
      <c r="D50" s="74"/>
      <c r="E50" s="75"/>
    </row>
    <row r="51" spans="2:5">
      <c r="B51" s="111"/>
      <c r="C51" s="87" t="str">
        <f>IF($E$4="ENG","Other door accessories","Інші Аксесуари")</f>
        <v>Інші Аксесуари</v>
      </c>
      <c r="D51" s="74"/>
      <c r="E51" s="75"/>
    </row>
    <row r="52" spans="2:5">
      <c r="C52" s="80"/>
    </row>
    <row r="53" spans="2:5">
      <c r="C53" s="80"/>
    </row>
  </sheetData>
  <sheetProtection password="DB76" sheet="1" objects="1" scenarios="1"/>
  <mergeCells count="1">
    <mergeCell ref="B2:C2"/>
  </mergeCells>
  <phoneticPr fontId="5" type="noConversion"/>
  <dataValidations count="1">
    <dataValidation type="list" allowBlank="1" showInputMessage="1" showErrorMessage="1" sqref="E4">
      <formula1>$I$2:$I$3</formula1>
    </dataValidation>
  </dataValidations>
  <hyperlinks>
    <hyperlink ref="C8" location="Door_Standard" display="Полотна гладкие: СТАНДАРТ"/>
    <hyperlink ref="C9" location="Door_Kupava" display="Полотна гладкие: КУПАВА"/>
    <hyperlink ref="C10" location="Door_Geometry" display="Полотна гладкие: ГЕОМЕТРИЯ"/>
    <hyperlink ref="C11" location="Door_Idea" display="Полотна гладкие: ИДЕЯ"/>
    <hyperlink ref="C18" location="Door_LadaA" display="Door_LadaA"/>
    <hyperlink ref="C24" location="Door_LadaK" display="Полотна сборные: ЛАДА-КОНЦЕПТ"/>
    <hyperlink ref="C29" location="Door_Lineya" display="Полотна стеклянные: ЛИНЕЯ"/>
    <hyperlink ref="C30" location="Door_Line" display="Полотна стеклянные: ЛАЙН"/>
    <hyperlink ref="C31" location="Door_Elegant" display="Полотна стеклянные: ЭЛЕГАНТ"/>
    <hyperlink ref="C32" location="Door_Glasford" display="Полотна стеклянные: ГЛАСФОРД"/>
    <hyperlink ref="C40" location="Frame_Stand" display="Дверная коробка STANDART"/>
    <hyperlink ref="C42" location="Frame_VFit" display="Дверная коробка Verto-FIT"/>
    <hyperlink ref="C47" location="Framugi" display="Фрамуги"/>
    <hyperlink ref="C51" location="Furniture" display="Фурнитура"/>
    <hyperlink ref="C33" location="Door_Dobor_Lada" display="Door_Dobor_Lada"/>
    <hyperlink ref="C37" location="Verto_Slide" display="Раздвижная система Verto-SLIDE"/>
    <hyperlink ref="C50" location="DoorHandles" display="Дверные Ручки и Комплектующие"/>
    <hyperlink ref="C43" location="Frame_VFitPlus" display="Frame_VFitPlus"/>
    <hyperlink ref="C44" location="Frame_VFitComfort" display="Frame_VFitComfort"/>
    <hyperlink ref="C25" location="Door_LadaN" display="Полотна сборные: ЛАДА-НОВА"/>
    <hyperlink ref="C26" location="Door_LadaL" display="Door_LadaL"/>
    <hyperlink ref="C46" location="Plinths" display="Plinths"/>
    <hyperlink ref="C19:C21" location="Door_Lada" display="Полотна сборные: ЛАДА"/>
    <hyperlink ref="C22" location="Door_Nika" display="Door_Nika"/>
    <hyperlink ref="C23" location="Door_Lisa" display="Door_Lisa"/>
    <hyperlink ref="C27" location="Door_Tiana" display="Door_Tiana"/>
    <hyperlink ref="C28" location="Door_Eva" display="Door_Eva"/>
    <hyperlink ref="C19" location="Door_LadaB" display="Door_LadaB"/>
    <hyperlink ref="C20" location="Door_LadaC" display="Door_LadaC"/>
    <hyperlink ref="C21" location="Door_LadaD" display="Door_LadaD"/>
    <hyperlink ref="C34" location="Door_Dobor" display="Полотна: ДОБОРЫ"/>
    <hyperlink ref="C12" location="Door_IdeaLoft" display="Door_IdeaLoft"/>
    <hyperlink ref="C16" location="Полотна_збірні__КЛАСІК" display="Полотна_збірні__КЛАСІК"/>
    <hyperlink ref="C45" location="Inside" display="Inside"/>
    <hyperlink ref="C17" location="Products!Прованс" display="Products!Прованс"/>
    <hyperlink ref="C13" location="ІДЕЯ_АЛЮМ" display="ІДЕЯ_АЛЮМ"/>
    <hyperlink ref="C41" location="Дверна_коробка_STANDARD___Алюм" display="Дверна_коробка_STANDARD___Алюм"/>
    <hyperlink ref="C14" location="Полотна_збірні__СОХО" display="Полотна_збірні__СОХО"/>
    <hyperlink ref="C15" location="Полотна_збірні__МОДЕНА" display="Полотна_збірні__МОДЕНА"/>
  </hyperlinks>
  <pageMargins left="0.37" right="0.41" top="0.49" bottom="0.49" header="0.5" footer="0.5"/>
  <pageSetup paperSize="9"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indexed="13"/>
  </sheetPr>
  <dimension ref="A1:BF2781"/>
  <sheetViews>
    <sheetView showGridLines="0" tabSelected="1" topLeftCell="B2493" zoomScale="85" zoomScaleNormal="85" workbookViewId="0">
      <selection activeCell="BA2441" sqref="BA2441"/>
    </sheetView>
  </sheetViews>
  <sheetFormatPr defaultColWidth="9.140625" defaultRowHeight="12.75"/>
  <cols>
    <col min="1" max="1" width="1" style="1" customWidth="1"/>
    <col min="2" max="2" width="23.42578125" style="1" customWidth="1"/>
    <col min="3" max="3" width="14" style="245" customWidth="1"/>
    <col min="4" max="4" width="6.7109375" style="1" hidden="1" customWidth="1"/>
    <col min="5" max="5" width="15.5703125" style="1" customWidth="1"/>
    <col min="6" max="6" width="6.7109375" style="1" hidden="1" customWidth="1"/>
    <col min="7" max="7" width="15.5703125" style="1" customWidth="1"/>
    <col min="8" max="8" width="6.7109375" style="1" hidden="1" customWidth="1"/>
    <col min="9" max="9" width="15.5703125" style="1" customWidth="1"/>
    <col min="10" max="10" width="6.7109375" style="1" hidden="1" customWidth="1"/>
    <col min="11" max="11" width="15.5703125" style="1" customWidth="1"/>
    <col min="12" max="12" width="6.7109375" style="1" hidden="1" customWidth="1"/>
    <col min="13" max="13" width="15.5703125" style="1" customWidth="1"/>
    <col min="14" max="14" width="6.7109375" style="1" hidden="1" customWidth="1"/>
    <col min="15" max="15" width="15.5703125" style="1" customWidth="1"/>
    <col min="16" max="16" width="6.7109375" style="1" hidden="1" customWidth="1"/>
    <col min="17" max="17" width="15.5703125" style="1" customWidth="1"/>
    <col min="18" max="18" width="6.7109375" style="1" hidden="1" customWidth="1"/>
    <col min="19" max="19" width="15.5703125" style="1" customWidth="1"/>
    <col min="20" max="20" width="6.7109375" style="1" hidden="1" customWidth="1"/>
    <col min="21" max="21" width="15.5703125" style="1" customWidth="1"/>
    <col min="22" max="22" width="6.7109375" style="1" hidden="1" customWidth="1"/>
    <col min="23" max="23" width="15.5703125" style="1" customWidth="1"/>
    <col min="24" max="28" width="10.7109375" style="1" hidden="1" customWidth="1"/>
    <col min="29" max="39" width="9.140625" style="1" hidden="1" customWidth="1"/>
    <col min="40" max="40" width="9.28515625" style="30" hidden="1" customWidth="1"/>
    <col min="41" max="46" width="9.140625" style="30" hidden="1" customWidth="1"/>
    <col min="47" max="49" width="9.140625" style="1" hidden="1" customWidth="1"/>
    <col min="50" max="73" width="9.140625" style="1" customWidth="1"/>
    <col min="74" max="16384" width="9.140625" style="1"/>
  </cols>
  <sheetData>
    <row r="1" spans="1:46" ht="12.75" customHeight="1">
      <c r="B1" s="112" t="str">
        <f>TITLE!B2</f>
        <v>ВЕРСІЯ: 62.00.25</v>
      </c>
      <c r="C1" s="244" t="str">
        <f>TITLE!E4</f>
        <v>UA</v>
      </c>
      <c r="E1" s="582" t="str">
        <f>IF($C$1="ENG","51400, Pavlograd town, 9 Teroshkina Str, tel. (0563) 20 93 80","51400, м. Павлоград, вул. Терьошкіна, 9, тел. (0563) 20 93 80")</f>
        <v>51400, м. Павлоград, вул. Терьошкіна, 9, тел. (0563) 20 93 80</v>
      </c>
      <c r="F1" s="582"/>
      <c r="G1" s="582"/>
      <c r="H1" s="582"/>
      <c r="I1" s="582"/>
      <c r="J1" s="582"/>
      <c r="K1" s="582"/>
      <c r="N1" s="90"/>
      <c r="O1" s="90"/>
      <c r="R1" s="90"/>
      <c r="S1" s="90"/>
      <c r="V1" s="88"/>
      <c r="W1" s="89"/>
      <c r="AC1" s="285"/>
    </row>
    <row r="2" spans="1:46">
      <c r="E2" s="583" t="str">
        <f>IF($C$1="ENG","e-mail: info@verto-doors.com, web-site: www.verto-doors.com","e-mail: info@verto-doors.com, web-site: www.verto-doors.com")</f>
        <v>e-mail: info@verto-doors.com, web-site: www.verto-doors.com</v>
      </c>
      <c r="F2" s="583"/>
      <c r="G2" s="583"/>
      <c r="H2" s="583"/>
      <c r="I2" s="583"/>
      <c r="J2" s="583"/>
      <c r="K2" s="583"/>
      <c r="U2" s="206" t="str">
        <f>IF($C$1="ENG","discount","знижка")</f>
        <v>знижка</v>
      </c>
      <c r="W2" s="70">
        <v>0</v>
      </c>
      <c r="AC2" s="286">
        <v>0.2</v>
      </c>
    </row>
    <row r="3" spans="1:46" ht="5.0999999999999996" customHeight="1">
      <c r="E3" s="8"/>
      <c r="H3" s="2"/>
      <c r="J3" s="3"/>
      <c r="K3" s="4"/>
      <c r="V3" s="88"/>
      <c r="AC3" s="287">
        <v>0</v>
      </c>
    </row>
    <row r="4" spans="1:46" ht="12.75" customHeight="1">
      <c r="E4" s="584" t="str">
        <f>IF($C$1="ENG","RETAIL PRICES FOR VERTO PRODUCTS","РОЗДРІБНІ ЦІНИ НА ПРОДУКЦІЮ ТМ VERTO")</f>
        <v>РОЗДРІБНІ ЦІНИ НА ПРОДУКЦІЮ ТМ VERTO</v>
      </c>
      <c r="F4" s="584"/>
      <c r="G4" s="584"/>
      <c r="H4" s="584"/>
      <c r="I4" s="584"/>
      <c r="U4" s="206" t="str">
        <f>IF($C$1="ENG","exchange rate (for 1 UAH)","курс валют (за 1 грн.)")</f>
        <v>курс валют (за 1 грн.)</v>
      </c>
      <c r="W4" s="207">
        <v>1</v>
      </c>
      <c r="AC4" s="285"/>
    </row>
    <row r="5" spans="1:46">
      <c r="C5" s="244"/>
      <c r="D5" s="5"/>
      <c r="E5" s="205" t="str">
        <f>TITLE!D2</f>
        <v>діє з: 1 вересня 2025 р.</v>
      </c>
      <c r="F5" s="5"/>
      <c r="G5" s="5"/>
      <c r="U5" s="208" t="str">
        <f>IF($C$1="ENG","VAT","ПДВ")</f>
        <v>ПДВ</v>
      </c>
      <c r="V5" s="209"/>
      <c r="W5" s="210">
        <v>0.2</v>
      </c>
      <c r="AC5" s="285"/>
    </row>
    <row r="6" spans="1:46" ht="5.0999999999999996" customHeight="1">
      <c r="C6" s="244"/>
      <c r="D6" s="5"/>
      <c r="E6" s="5"/>
      <c r="F6" s="5"/>
      <c r="G6" s="5"/>
      <c r="AC6" s="285"/>
    </row>
    <row r="7" spans="1:46" ht="12.75" customHeight="1">
      <c r="B7" s="580" t="str">
        <f>IF($C$1="ENG","TO MAIN PAGE","НА ГОЛОВНУ")</f>
        <v>НА ГОЛОВНУ</v>
      </c>
      <c r="C7" s="581"/>
      <c r="D7" s="576" t="str">
        <f>IF($C$1="ENG","Price","Ціна")</f>
        <v>Ціна</v>
      </c>
      <c r="E7" s="577"/>
      <c r="F7" s="576" t="str">
        <f>IF($C$1="ENG","Price","Ціна")</f>
        <v>Ціна</v>
      </c>
      <c r="G7" s="577"/>
      <c r="H7" s="576" t="str">
        <f>IF($C$1="ENG","Price","Ціна")</f>
        <v>Ціна</v>
      </c>
      <c r="I7" s="577"/>
      <c r="J7" s="576" t="str">
        <f>IF($C$1="ENG","Price","Ціна")</f>
        <v>Ціна</v>
      </c>
      <c r="K7" s="577"/>
      <c r="L7" s="576" t="str">
        <f>IF($C$1="ENG","Price","Ціна")</f>
        <v>Ціна</v>
      </c>
      <c r="M7" s="577"/>
      <c r="N7" s="576" t="str">
        <f>IF($C$1="ENG","Price","Ціна")</f>
        <v>Ціна</v>
      </c>
      <c r="O7" s="577"/>
      <c r="P7" s="576" t="str">
        <f>IF($C$1="ENG","Price","Ціна")</f>
        <v>Ціна</v>
      </c>
      <c r="Q7" s="577"/>
      <c r="R7" s="576" t="str">
        <f>IF($C$1="ENG","Price","Ціна")</f>
        <v>Ціна</v>
      </c>
      <c r="S7" s="577"/>
      <c r="T7" s="576" t="str">
        <f>IF($C$1="ENG","Price","Ціна")</f>
        <v>Ціна</v>
      </c>
      <c r="U7" s="577"/>
      <c r="V7" s="576" t="str">
        <f>IF($C$1="ENG","Price","Ціна")</f>
        <v>Ціна</v>
      </c>
      <c r="W7" s="577"/>
      <c r="AC7" s="285" t="s">
        <v>48</v>
      </c>
      <c r="AD7" s="285" t="s">
        <v>49</v>
      </c>
      <c r="AE7" s="285" t="s">
        <v>50</v>
      </c>
      <c r="AF7" s="285" t="s">
        <v>51</v>
      </c>
      <c r="AG7" s="285" t="s">
        <v>52</v>
      </c>
      <c r="AH7" s="285" t="s">
        <v>53</v>
      </c>
      <c r="AI7" s="285" t="s">
        <v>54</v>
      </c>
      <c r="AJ7" s="285" t="s">
        <v>55</v>
      </c>
      <c r="AK7" s="285" t="s">
        <v>59</v>
      </c>
      <c r="AL7" s="285" t="s">
        <v>60</v>
      </c>
    </row>
    <row r="8" spans="1:46">
      <c r="B8" s="578" t="str">
        <f>IF($C$1="ENG","Products","Асортимент")</f>
        <v>Асортимент</v>
      </c>
      <c r="C8" s="579"/>
      <c r="D8" s="6" t="s">
        <v>56</v>
      </c>
      <c r="E8" s="7" t="str">
        <f>IF($C$1="ENG",IF($W$5=0.2,"with VAT","no VAT"),IF($W$5=0.2,"з ПДВ","без ПДВ"))</f>
        <v>з ПДВ</v>
      </c>
      <c r="F8" s="6" t="s">
        <v>56</v>
      </c>
      <c r="G8" s="7" t="str">
        <f>IF($C$1="ENG",IF($W$5=0.2,"with VAT","no VAT"),IF($W$5=0.2,"з ПДВ","без ПДВ"))</f>
        <v>з ПДВ</v>
      </c>
      <c r="H8" s="6" t="s">
        <v>56</v>
      </c>
      <c r="I8" s="7" t="str">
        <f>IF($C$1="ENG",IF($W$5=0.2,"with VAT","no VAT"),IF($W$5=0.2,"з ПДВ","без ПДВ"))</f>
        <v>з ПДВ</v>
      </c>
      <c r="J8" s="6" t="s">
        <v>56</v>
      </c>
      <c r="K8" s="7" t="str">
        <f>IF($C$1="ENG",IF($W$5=0.2,"with VAT","no VAT"),IF($W$5=0.2,"з ПДВ","без ПДВ"))</f>
        <v>з ПДВ</v>
      </c>
      <c r="L8" s="6" t="s">
        <v>56</v>
      </c>
      <c r="M8" s="7" t="str">
        <f>IF($C$1="ENG",IF($W$5=0.2,"with VAT","no VAT"),IF($W$5=0.2,"з ПДВ","без ПДВ"))</f>
        <v>з ПДВ</v>
      </c>
      <c r="N8" s="6" t="s">
        <v>56</v>
      </c>
      <c r="O8" s="7" t="str">
        <f>IF($C$1="ENG",IF($W$5=0.2,"with VAT","no VAT"),IF($W$5=0.2,"з ПДВ","без ПДВ"))</f>
        <v>з ПДВ</v>
      </c>
      <c r="P8" s="6" t="s">
        <v>56</v>
      </c>
      <c r="Q8" s="7" t="str">
        <f>IF($C$1="ENG",IF($W$5=0.2,"with VAT","no VAT"),IF($W$5=0.2,"з ПДВ","без ПДВ"))</f>
        <v>з ПДВ</v>
      </c>
      <c r="R8" s="6" t="s">
        <v>56</v>
      </c>
      <c r="S8" s="7" t="str">
        <f>IF($C$1="ENG",IF($W$5=0.2,"with VAT","no VAT"),IF($W$5=0.2,"з ПДВ","без ПДВ"))</f>
        <v>з ПДВ</v>
      </c>
      <c r="T8" s="6" t="s">
        <v>56</v>
      </c>
      <c r="U8" s="7" t="str">
        <f>IF($C$1="ENG",IF($W$5=0.2,"with VAT","no VAT"),IF($W$5=0.2,"з ПДВ","без ПДВ"))</f>
        <v>з ПДВ</v>
      </c>
      <c r="V8" s="6" t="s">
        <v>56</v>
      </c>
      <c r="W8" s="7" t="str">
        <f>IF($C$1="ENG",IF($W$5=0.2,"with VAT","no VAT"),IF($W$5=0.2,"з ПДВ","без ПДВ"))</f>
        <v>з ПДВ</v>
      </c>
      <c r="AC8" s="285"/>
      <c r="AD8" s="285"/>
      <c r="AE8" s="285"/>
      <c r="AF8" s="285"/>
      <c r="AG8" s="285"/>
      <c r="AH8" s="285"/>
      <c r="AI8" s="285"/>
      <c r="AJ8" s="285"/>
      <c r="AK8" s="285"/>
      <c r="AL8" s="285"/>
    </row>
    <row r="10" spans="1:46" s="8" customFormat="1">
      <c r="B10" s="550" t="str">
        <f>TITLE!$C$8</f>
        <v>Полотна каркасно-щитові: СТАНДАРТ</v>
      </c>
      <c r="C10" s="550"/>
      <c r="D10" s="564"/>
      <c r="E10" s="564"/>
      <c r="F10" s="117"/>
      <c r="G10" s="117"/>
      <c r="H10" s="117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AN10" s="279"/>
      <c r="AO10" s="279"/>
      <c r="AP10" s="279"/>
      <c r="AQ10" s="279"/>
      <c r="AR10" s="279"/>
      <c r="AS10" s="279"/>
      <c r="AT10" s="279"/>
    </row>
    <row r="11" spans="1:46" s="8" customFormat="1" ht="5.0999999999999996" customHeight="1">
      <c r="B11" s="116"/>
      <c r="C11" s="418"/>
      <c r="D11" s="10"/>
      <c r="E11" s="10"/>
      <c r="F11" s="10"/>
      <c r="G11" s="10"/>
      <c r="H11" s="10"/>
      <c r="AN11" s="279"/>
      <c r="AO11" s="279"/>
      <c r="AP11" s="279"/>
      <c r="AQ11" s="279"/>
      <c r="AR11" s="279"/>
      <c r="AS11" s="279"/>
      <c r="AT11" s="279"/>
    </row>
    <row r="12" spans="1:46" s="8" customFormat="1" ht="14.25" customHeight="1">
      <c r="B12" s="556" t="str">
        <f>IF($C$1="ENG","model","модель")</f>
        <v>модель</v>
      </c>
      <c r="C12" s="121" t="str">
        <f>IF($C$1="ENG","cover:","покриття:")</f>
        <v>покриття:</v>
      </c>
      <c r="D12" s="538" t="str">
        <f>IF($C$1="ENG","SIMPL / V-CELL","SIMPL / V-CELL")</f>
        <v>SIMPL / V-CELL</v>
      </c>
      <c r="E12" s="539"/>
      <c r="F12" s="538" t="str">
        <f>IF($C$1="ENG","UNI-MAT","UNI-MAT")</f>
        <v>UNI-MAT</v>
      </c>
      <c r="G12" s="539"/>
      <c r="H12" s="46"/>
      <c r="I12" s="46"/>
      <c r="J12" s="46"/>
      <c r="K12" s="46"/>
      <c r="AN12" s="279"/>
      <c r="AO12" s="279"/>
      <c r="AP12" s="279"/>
      <c r="AQ12" s="279"/>
      <c r="AR12" s="279"/>
      <c r="AS12" s="279"/>
      <c r="AT12" s="279"/>
    </row>
    <row r="13" spans="1:46" ht="12.75" customHeight="1">
      <c r="A13" s="8"/>
      <c r="B13" s="557"/>
      <c r="C13" s="122" t="str">
        <f>IF($C$1="ENG","filling:","заповнення:")</f>
        <v>заповнення:</v>
      </c>
      <c r="D13" s="540" t="str">
        <f>IF($C$1="ENG","honeycomb core ","сотове заповнення")</f>
        <v>сотове заповнення</v>
      </c>
      <c r="E13" s="541"/>
      <c r="F13" s="540" t="str">
        <f>IF($C$1="ENG","honeycomb core ","сотове заповнення")</f>
        <v>сотове заповнення</v>
      </c>
      <c r="G13" s="541"/>
      <c r="H13" s="47"/>
      <c r="I13" s="47"/>
      <c r="J13" s="47"/>
      <c r="K13" s="130"/>
      <c r="L13" s="11"/>
      <c r="M13" s="11"/>
      <c r="P13" s="11"/>
      <c r="Q13" s="11"/>
    </row>
    <row r="14" spans="1:46" ht="12.75" customHeight="1">
      <c r="A14" s="8"/>
      <c r="B14" s="558"/>
      <c r="C14" s="123" t="str">
        <f>IF($C$1="ENG","glazing:","скління:")</f>
        <v>скління:</v>
      </c>
      <c r="D14" s="542" t="s">
        <v>67</v>
      </c>
      <c r="E14" s="543"/>
      <c r="F14" s="542" t="s">
        <v>67</v>
      </c>
      <c r="G14" s="543"/>
      <c r="H14" s="47"/>
      <c r="I14" s="47"/>
      <c r="J14" s="47"/>
      <c r="K14" s="394"/>
      <c r="L14" s="395"/>
      <c r="M14" s="395"/>
      <c r="N14" s="394"/>
      <c r="O14" s="395"/>
      <c r="P14" s="395"/>
      <c r="Q14" s="394"/>
      <c r="AC14" s="334" t="str">
        <f>D12</f>
        <v>SIMPL / V-CELL</v>
      </c>
      <c r="AD14" s="334" t="str">
        <f>F12</f>
        <v>UNI-MAT</v>
      </c>
    </row>
    <row r="15" spans="1:46" ht="35.1" customHeight="1">
      <c r="A15" s="8"/>
      <c r="B15" s="13" t="s">
        <v>0</v>
      </c>
      <c r="C15" s="14"/>
      <c r="D15" s="100">
        <f>IF(AC15="","",(1-$W$2)*(AC15/1.2))</f>
        <v>4708.3333333333339</v>
      </c>
      <c r="E15" s="64">
        <f>IF($W$5=0.2,D15*1.2,D15)/$W$4</f>
        <v>5650.0000000000009</v>
      </c>
      <c r="F15" s="100">
        <f t="shared" ref="F15:F20" si="0">IF(AD15="","",(1-$W$2)*(AD15/1.2))</f>
        <v>5333.3333333333339</v>
      </c>
      <c r="G15" s="64">
        <f>IF($W$5=0.2,F15*1.2,F15)/$W$4</f>
        <v>6400.0000000000009</v>
      </c>
      <c r="H15" s="28"/>
      <c r="I15" s="59"/>
      <c r="J15" s="28"/>
      <c r="K15" s="59"/>
      <c r="L15" s="11"/>
      <c r="M15" s="82"/>
      <c r="O15" s="20"/>
      <c r="P15" s="11"/>
      <c r="Q15" s="82"/>
      <c r="S15" s="20"/>
      <c r="U15" s="20"/>
      <c r="W15" s="20"/>
      <c r="AC15" s="331">
        <f>5310+340</f>
        <v>5650</v>
      </c>
      <c r="AD15" s="331">
        <f>6060+340</f>
        <v>6400</v>
      </c>
      <c r="AE15" s="288"/>
      <c r="AF15" s="288"/>
      <c r="AG15" s="396">
        <f>AE15/AC15-1</f>
        <v>-1</v>
      </c>
      <c r="AH15" s="396">
        <f>AF15/AD15-1</f>
        <v>-1</v>
      </c>
      <c r="AI15" s="288"/>
      <c r="AJ15" s="288"/>
      <c r="AK15" s="288"/>
      <c r="AL15" s="288"/>
    </row>
    <row r="16" spans="1:46" ht="35.1" customHeight="1">
      <c r="A16" s="8"/>
      <c r="B16" s="16" t="s">
        <v>2</v>
      </c>
      <c r="C16" s="17"/>
      <c r="D16" s="101">
        <f t="shared" ref="D16:D20" si="1">IF(AC16="","",(1-$W$2)*(AC16/1.2))</f>
        <v>4966.666666666667</v>
      </c>
      <c r="E16" s="66">
        <f t="shared" ref="E16:E20" si="2">IF($W$5=0.2,D16*1.2,D16)/$W$4</f>
        <v>5960</v>
      </c>
      <c r="F16" s="101">
        <f t="shared" si="0"/>
        <v>5650</v>
      </c>
      <c r="G16" s="66">
        <f t="shared" ref="G16:G20" si="3">IF($W$5=0.2,F16*1.2,F16)/$W$4</f>
        <v>6780</v>
      </c>
      <c r="H16" s="28"/>
      <c r="I16" s="59"/>
      <c r="J16" s="28"/>
      <c r="K16" s="59"/>
      <c r="L16" s="19"/>
      <c r="M16" s="82"/>
      <c r="O16" s="20"/>
      <c r="P16" s="19"/>
      <c r="Q16" s="82"/>
      <c r="S16" s="20"/>
      <c r="U16" s="20"/>
      <c r="W16" s="20"/>
      <c r="AC16" s="331">
        <f>5620+340</f>
        <v>5960</v>
      </c>
      <c r="AD16" s="331">
        <f>6440+340</f>
        <v>6780</v>
      </c>
      <c r="AE16" s="288"/>
      <c r="AF16" s="288"/>
      <c r="AG16" s="396">
        <f t="shared" ref="AG16:AH20" si="4">AE16/AC16-1</f>
        <v>-1</v>
      </c>
      <c r="AH16" s="396">
        <f t="shared" si="4"/>
        <v>-1</v>
      </c>
      <c r="AI16" s="288"/>
      <c r="AJ16" s="288"/>
      <c r="AK16" s="288"/>
      <c r="AL16" s="288"/>
    </row>
    <row r="17" spans="1:38" ht="35.1" customHeight="1">
      <c r="A17" s="8"/>
      <c r="B17" s="16" t="s">
        <v>1</v>
      </c>
      <c r="C17" s="17"/>
      <c r="D17" s="101">
        <f t="shared" si="1"/>
        <v>4775</v>
      </c>
      <c r="E17" s="66">
        <f t="shared" si="2"/>
        <v>5730</v>
      </c>
      <c r="F17" s="101">
        <f t="shared" si="0"/>
        <v>5400</v>
      </c>
      <c r="G17" s="66">
        <f t="shared" si="3"/>
        <v>6480</v>
      </c>
      <c r="H17" s="28"/>
      <c r="I17" s="59"/>
      <c r="J17" s="28"/>
      <c r="K17" s="59"/>
      <c r="L17" s="11"/>
      <c r="M17" s="82"/>
      <c r="N17" s="21"/>
      <c r="O17" s="20"/>
      <c r="P17" s="11"/>
      <c r="Q17" s="82"/>
      <c r="R17" s="21"/>
      <c r="S17" s="20"/>
      <c r="U17" s="20"/>
      <c r="W17" s="20"/>
      <c r="AC17" s="331">
        <f>5310+420</f>
        <v>5730</v>
      </c>
      <c r="AD17" s="331">
        <f>6060+420</f>
        <v>6480</v>
      </c>
      <c r="AE17" s="288"/>
      <c r="AF17" s="288"/>
      <c r="AG17" s="396">
        <f t="shared" si="4"/>
        <v>-1</v>
      </c>
      <c r="AH17" s="396">
        <f t="shared" si="4"/>
        <v>-1</v>
      </c>
      <c r="AI17" s="288"/>
      <c r="AJ17" s="288"/>
      <c r="AK17" s="288"/>
      <c r="AL17" s="288"/>
    </row>
    <row r="18" spans="1:38" ht="35.1" customHeight="1">
      <c r="A18" s="8"/>
      <c r="B18" s="16" t="s">
        <v>3</v>
      </c>
      <c r="C18" s="17"/>
      <c r="D18" s="101">
        <f t="shared" si="1"/>
        <v>5033.3333333333339</v>
      </c>
      <c r="E18" s="66">
        <f t="shared" si="2"/>
        <v>6040.0000000000009</v>
      </c>
      <c r="F18" s="101">
        <f t="shared" si="0"/>
        <v>5716.666666666667</v>
      </c>
      <c r="G18" s="66">
        <f t="shared" si="3"/>
        <v>6860</v>
      </c>
      <c r="H18" s="28"/>
      <c r="I18" s="59"/>
      <c r="J18" s="28"/>
      <c r="K18" s="59"/>
      <c r="L18" s="19"/>
      <c r="M18" s="82"/>
      <c r="N18" s="21"/>
      <c r="O18" s="20"/>
      <c r="P18" s="19"/>
      <c r="Q18" s="82"/>
      <c r="R18" s="21"/>
      <c r="S18" s="20"/>
      <c r="U18" s="20"/>
      <c r="W18" s="20"/>
      <c r="AC18" s="331">
        <f>5620+420</f>
        <v>6040</v>
      </c>
      <c r="AD18" s="331">
        <f>6440+420</f>
        <v>6860</v>
      </c>
      <c r="AE18" s="288"/>
      <c r="AF18" s="288"/>
      <c r="AG18" s="396">
        <f t="shared" si="4"/>
        <v>-1</v>
      </c>
      <c r="AH18" s="396">
        <f t="shared" si="4"/>
        <v>-1</v>
      </c>
      <c r="AI18" s="288"/>
      <c r="AJ18" s="288"/>
      <c r="AK18" s="288"/>
      <c r="AL18" s="288"/>
    </row>
    <row r="19" spans="1:38" ht="35.1" customHeight="1">
      <c r="A19" s="8"/>
      <c r="B19" s="16" t="s">
        <v>14</v>
      </c>
      <c r="C19" s="17"/>
      <c r="D19" s="101">
        <f t="shared" si="1"/>
        <v>4508.3333333333339</v>
      </c>
      <c r="E19" s="66">
        <f t="shared" si="2"/>
        <v>5410.0000000000009</v>
      </c>
      <c r="F19" s="101">
        <f t="shared" si="0"/>
        <v>5116.666666666667</v>
      </c>
      <c r="G19" s="66">
        <f t="shared" si="3"/>
        <v>6140</v>
      </c>
      <c r="H19" s="28"/>
      <c r="I19" s="59"/>
      <c r="J19" s="28"/>
      <c r="K19" s="59"/>
      <c r="L19" s="11"/>
      <c r="M19" s="82"/>
      <c r="N19" s="21"/>
      <c r="O19" s="20"/>
      <c r="P19" s="11"/>
      <c r="Q19" s="82"/>
      <c r="R19" s="21"/>
      <c r="S19" s="20"/>
      <c r="U19" s="20"/>
      <c r="W19" s="20"/>
      <c r="AC19" s="331">
        <f>4990+420</f>
        <v>5410</v>
      </c>
      <c r="AD19" s="331">
        <f>5720+420</f>
        <v>6140</v>
      </c>
      <c r="AE19" s="288"/>
      <c r="AF19" s="288"/>
      <c r="AG19" s="396">
        <f t="shared" si="4"/>
        <v>-1</v>
      </c>
      <c r="AH19" s="396">
        <f t="shared" si="4"/>
        <v>-1</v>
      </c>
      <c r="AI19" s="288"/>
      <c r="AJ19" s="288"/>
      <c r="AK19" s="288"/>
      <c r="AL19" s="288"/>
    </row>
    <row r="20" spans="1:38" ht="35.1" customHeight="1">
      <c r="A20" s="8"/>
      <c r="B20" s="23" t="s">
        <v>15</v>
      </c>
      <c r="C20" s="24"/>
      <c r="D20" s="102">
        <f t="shared" si="1"/>
        <v>4508.3333333333339</v>
      </c>
      <c r="E20" s="69">
        <f t="shared" si="2"/>
        <v>5410.0000000000009</v>
      </c>
      <c r="F20" s="102">
        <f t="shared" si="0"/>
        <v>5116.666666666667</v>
      </c>
      <c r="G20" s="69">
        <f t="shared" si="3"/>
        <v>6140</v>
      </c>
      <c r="H20" s="28"/>
      <c r="I20" s="59"/>
      <c r="J20" s="28"/>
      <c r="K20" s="59"/>
      <c r="L20" s="19"/>
      <c r="M20" s="82"/>
      <c r="N20" s="21"/>
      <c r="O20" s="20"/>
      <c r="P20" s="19"/>
      <c r="Q20" s="82"/>
      <c r="R20" s="21"/>
      <c r="S20" s="20"/>
      <c r="U20" s="20"/>
      <c r="W20" s="20"/>
      <c r="AC20" s="331">
        <f>4990+420</f>
        <v>5410</v>
      </c>
      <c r="AD20" s="331">
        <f>5720+420</f>
        <v>6140</v>
      </c>
      <c r="AE20" s="288"/>
      <c r="AF20" s="288"/>
      <c r="AG20" s="396">
        <f t="shared" si="4"/>
        <v>-1</v>
      </c>
      <c r="AH20" s="396">
        <f t="shared" si="4"/>
        <v>-1</v>
      </c>
      <c r="AI20" s="288"/>
      <c r="AJ20" s="288"/>
      <c r="AK20" s="288"/>
      <c r="AL20" s="288"/>
    </row>
    <row r="21" spans="1:38">
      <c r="C21" s="244"/>
      <c r="D21" s="26"/>
      <c r="E21" s="26"/>
      <c r="F21" s="324"/>
      <c r="G21" s="324"/>
      <c r="H21" s="10"/>
      <c r="I21" s="48"/>
      <c r="J21" s="48"/>
      <c r="K21" s="48"/>
    </row>
    <row r="22" spans="1:38">
      <c r="B22" s="211" t="str">
        <f>IF($C$1="ENG","For additonal charge:","Послуги за додаткову плату:")</f>
        <v>Послуги за додаткову плату:</v>
      </c>
      <c r="C22" s="419"/>
      <c r="D22" s="212"/>
      <c r="E22" s="213"/>
      <c r="F22" s="26"/>
      <c r="G22" s="26"/>
      <c r="H22" s="10"/>
      <c r="I22" s="48"/>
      <c r="J22" s="48"/>
      <c r="K22" s="48"/>
    </row>
    <row r="23" spans="1:38" ht="5.0999999999999996" customHeight="1">
      <c r="B23" s="27"/>
      <c r="C23" s="244"/>
      <c r="D23" s="39"/>
      <c r="E23" s="26"/>
      <c r="F23" s="26"/>
      <c r="G23" s="26"/>
      <c r="H23" s="10"/>
      <c r="I23" s="8"/>
    </row>
    <row r="24" spans="1:38">
      <c r="B24" s="561" t="str">
        <f>IF($C$1="ENG","Ventilation sleeves (1 row)","вентиляційні віддушини (1ряд)")</f>
        <v>вентиляційні віддушини (1ряд)</v>
      </c>
      <c r="C24" s="562"/>
      <c r="D24" s="131">
        <f t="shared" ref="D24:D37" si="5">IF(AC24="","",(1-$W$2)*(AC24/1.2))</f>
        <v>208.33333333333334</v>
      </c>
      <c r="E24" s="64">
        <f t="shared" ref="E24:E27" si="6">IF($W$5=0.2,D24*1.2,D24)/$W$4</f>
        <v>250</v>
      </c>
      <c r="F24" s="26"/>
      <c r="G24" s="26"/>
      <c r="I24" s="59"/>
      <c r="J24" s="28"/>
      <c r="AC24" s="297">
        <v>250</v>
      </c>
      <c r="AD24" s="288">
        <v>250</v>
      </c>
      <c r="AE24" s="288">
        <f>AD24/AC24-1</f>
        <v>0</v>
      </c>
      <c r="AF24" s="288"/>
      <c r="AG24" s="288"/>
      <c r="AH24" s="288"/>
      <c r="AI24" s="288"/>
      <c r="AJ24" s="288"/>
      <c r="AK24" s="288"/>
      <c r="AL24" s="288"/>
    </row>
    <row r="25" spans="1:38">
      <c r="B25" s="561" t="str">
        <f>IF($C$1="ENG","Ventilation cut","вентиляційний підріз")</f>
        <v>вентиляційний підріз</v>
      </c>
      <c r="C25" s="562"/>
      <c r="D25" s="132">
        <f>IF(AC25="","",(1-$W$2)*(AC25/1.2))</f>
        <v>141.66666666666669</v>
      </c>
      <c r="E25" s="66">
        <f t="shared" si="6"/>
        <v>170.00000000000003</v>
      </c>
      <c r="F25" s="26"/>
      <c r="G25" s="26"/>
      <c r="I25" s="59"/>
      <c r="J25" s="28"/>
      <c r="AC25" s="297">
        <v>170</v>
      </c>
      <c r="AD25" s="288">
        <v>170</v>
      </c>
      <c r="AE25" s="288">
        <f t="shared" ref="AE25:AE37" si="7">AD25/AC25-1</f>
        <v>0</v>
      </c>
      <c r="AF25" s="288"/>
      <c r="AG25" s="288"/>
      <c r="AH25" s="288"/>
      <c r="AI25" s="288"/>
      <c r="AJ25" s="288"/>
      <c r="AK25" s="288"/>
      <c r="AL25" s="288"/>
    </row>
    <row r="26" spans="1:38">
      <c r="B26" s="561" t="str">
        <f>IF($C$1="ENG","third door hindge","третя завіса")</f>
        <v>третя завіса</v>
      </c>
      <c r="C26" s="562"/>
      <c r="D26" s="132">
        <f t="shared" si="5"/>
        <v>66.666666666666671</v>
      </c>
      <c r="E26" s="66">
        <f t="shared" si="6"/>
        <v>80</v>
      </c>
      <c r="F26" s="26"/>
      <c r="G26" s="26"/>
      <c r="I26" s="59"/>
      <c r="J26" s="28"/>
      <c r="AC26" s="297">
        <v>80</v>
      </c>
      <c r="AD26" s="288">
        <v>80</v>
      </c>
      <c r="AE26" s="288">
        <f t="shared" si="7"/>
        <v>0</v>
      </c>
      <c r="AF26" s="288"/>
      <c r="AG26" s="288"/>
      <c r="AH26" s="288"/>
      <c r="AI26" s="288"/>
      <c r="AJ26" s="288"/>
      <c r="AK26" s="288"/>
      <c r="AL26" s="288"/>
    </row>
    <row r="27" spans="1:38">
      <c r="B27" s="554" t="str">
        <f>IF($C$1="ENG","glazing Graphite / Bronze","скло Графіт / Бронза")</f>
        <v>скло Графіт / Бронза</v>
      </c>
      <c r="C27" s="555"/>
      <c r="D27" s="132">
        <f>IF(AC27="","",(1-$W$2)*(AC27/1.2))</f>
        <v>458.33333333333337</v>
      </c>
      <c r="E27" s="66">
        <f t="shared" si="6"/>
        <v>550</v>
      </c>
      <c r="F27" s="140"/>
      <c r="G27" s="140"/>
      <c r="AC27" s="297">
        <v>550</v>
      </c>
      <c r="AD27" s="288">
        <v>550</v>
      </c>
      <c r="AE27" s="288">
        <f t="shared" si="7"/>
        <v>0</v>
      </c>
      <c r="AF27" s="288"/>
      <c r="AG27" s="288"/>
      <c r="AH27" s="288"/>
      <c r="AI27" s="288"/>
      <c r="AJ27" s="288"/>
      <c r="AK27" s="288"/>
      <c r="AL27" s="288"/>
    </row>
    <row r="28" spans="1:38">
      <c r="B28" s="554" t="str">
        <f>IF($C$1="ENG","door lock Soft","замок Soft")</f>
        <v>замок Soft</v>
      </c>
      <c r="C28" s="555"/>
      <c r="D28" s="273">
        <f t="shared" si="5"/>
        <v>458.33333333333337</v>
      </c>
      <c r="E28" s="66">
        <f t="shared" ref="E28:E35" si="8">IF($W$5=0.2,D28*1.2,D28)/$W$4</f>
        <v>550</v>
      </c>
      <c r="F28" s="26"/>
      <c r="G28" s="26"/>
      <c r="H28" s="43"/>
      <c r="I28" s="279"/>
      <c r="J28" s="8"/>
      <c r="K28" s="279"/>
      <c r="L28" s="8"/>
      <c r="M28" s="279"/>
      <c r="P28" s="8"/>
      <c r="Q28" s="279"/>
      <c r="U28" s="292"/>
      <c r="AC28" s="297">
        <v>550</v>
      </c>
      <c r="AD28" s="288">
        <v>550</v>
      </c>
      <c r="AE28" s="288">
        <f t="shared" si="7"/>
        <v>0</v>
      </c>
      <c r="AF28" s="288"/>
      <c r="AG28" s="288"/>
      <c r="AH28" s="288"/>
      <c r="AI28" s="288"/>
      <c r="AJ28" s="288"/>
      <c r="AK28" s="288"/>
      <c r="AL28" s="288"/>
    </row>
    <row r="29" spans="1:38">
      <c r="B29" s="554" t="str">
        <f>IF($C$1="ENG","door lock Soft black","замок Soft чорн.")</f>
        <v>замок Soft чорн.</v>
      </c>
      <c r="C29" s="555"/>
      <c r="D29" s="273">
        <f t="shared" si="5"/>
        <v>566.66666666666674</v>
      </c>
      <c r="E29" s="66">
        <f t="shared" ref="E29" si="9">IF($W$5=0.2,D29*1.2,D29)/$W$4</f>
        <v>680.00000000000011</v>
      </c>
      <c r="F29" s="26"/>
      <c r="G29" s="26"/>
      <c r="H29" s="43"/>
      <c r="I29" s="279"/>
      <c r="J29" s="8"/>
      <c r="K29" s="279"/>
      <c r="L29" s="8"/>
      <c r="M29" s="279"/>
      <c r="P29" s="8"/>
      <c r="Q29" s="279"/>
      <c r="U29" s="292"/>
      <c r="AC29" s="297">
        <v>680</v>
      </c>
      <c r="AD29" s="288"/>
      <c r="AE29" s="288"/>
      <c r="AF29" s="288"/>
      <c r="AG29" s="288"/>
      <c r="AH29" s="288"/>
      <c r="AI29" s="288"/>
      <c r="AJ29" s="288"/>
      <c r="AK29" s="288"/>
      <c r="AL29" s="288"/>
    </row>
    <row r="30" spans="1:38">
      <c r="B30" s="554" t="str">
        <f>IF($C$1="ENG","door lock Magnet","замок Magnet")</f>
        <v>замок Magnet</v>
      </c>
      <c r="C30" s="555"/>
      <c r="D30" s="273">
        <f t="shared" si="5"/>
        <v>666.66666666666674</v>
      </c>
      <c r="E30" s="66">
        <f t="shared" si="8"/>
        <v>800.00000000000011</v>
      </c>
      <c r="F30" s="26"/>
      <c r="G30" s="26"/>
      <c r="H30" s="43"/>
      <c r="I30" s="279"/>
      <c r="J30" s="8"/>
      <c r="K30" s="279"/>
      <c r="L30" s="8"/>
      <c r="M30" s="279"/>
      <c r="P30" s="8"/>
      <c r="Q30" s="279"/>
      <c r="U30" s="292"/>
      <c r="AC30" s="297">
        <v>800</v>
      </c>
      <c r="AD30" s="288">
        <v>800</v>
      </c>
      <c r="AE30" s="288">
        <f t="shared" si="7"/>
        <v>0</v>
      </c>
      <c r="AF30" s="288"/>
      <c r="AG30" s="288"/>
      <c r="AH30" s="288"/>
      <c r="AI30" s="288"/>
      <c r="AJ30" s="288"/>
      <c r="AK30" s="288"/>
      <c r="AL30" s="288"/>
    </row>
    <row r="31" spans="1:38">
      <c r="B31" s="554" t="str">
        <f>IF($C$1="ENG","door lock Magnet black","замок Magnet чорн.")</f>
        <v>замок Magnet чорн.</v>
      </c>
      <c r="C31" s="555"/>
      <c r="D31" s="273">
        <f t="shared" ref="D31" si="10">IF(AC31="","",(1-$W$2)*(AC31/1.2))</f>
        <v>833.33333333333337</v>
      </c>
      <c r="E31" s="66">
        <f t="shared" si="8"/>
        <v>1000</v>
      </c>
      <c r="F31" s="26"/>
      <c r="G31" s="26"/>
      <c r="H31" s="43"/>
      <c r="I31" s="279"/>
      <c r="J31" s="8"/>
      <c r="K31" s="279"/>
      <c r="L31" s="8"/>
      <c r="M31" s="279"/>
      <c r="P31" s="8"/>
      <c r="Q31" s="279"/>
      <c r="U31" s="292"/>
      <c r="AC31" s="297">
        <v>1000</v>
      </c>
      <c r="AD31" s="288">
        <v>800</v>
      </c>
      <c r="AE31" s="288">
        <f t="shared" ref="AE31" si="11">AD31/AC31-1</f>
        <v>-0.19999999999999996</v>
      </c>
      <c r="AF31" s="288"/>
      <c r="AG31" s="288"/>
      <c r="AH31" s="288"/>
      <c r="AI31" s="288"/>
      <c r="AJ31" s="288"/>
      <c r="AK31" s="288"/>
      <c r="AL31" s="288"/>
    </row>
    <row r="32" spans="1:38">
      <c r="B32" s="554" t="str">
        <f>IF($C$1="ENG","door handle-lock (for sliding doors)","ручка-замок (для дверей купе)")</f>
        <v>ручка-замок (для дверей купе)</v>
      </c>
      <c r="C32" s="555"/>
      <c r="D32" s="132">
        <f t="shared" si="5"/>
        <v>466.66666666666669</v>
      </c>
      <c r="E32" s="66">
        <f t="shared" si="8"/>
        <v>560</v>
      </c>
      <c r="F32" s="26"/>
      <c r="G32" s="26"/>
      <c r="I32" s="30"/>
      <c r="K32" s="30"/>
      <c r="AC32" s="297">
        <v>560</v>
      </c>
      <c r="AD32" s="288">
        <v>560</v>
      </c>
      <c r="AE32" s="288">
        <f t="shared" si="7"/>
        <v>0</v>
      </c>
      <c r="AF32" s="288"/>
      <c r="AG32" s="288"/>
      <c r="AH32" s="288"/>
      <c r="AI32" s="288"/>
      <c r="AJ32" s="288"/>
      <c r="AK32" s="288"/>
      <c r="AL32" s="288"/>
    </row>
    <row r="33" spans="2:38">
      <c r="B33" s="554" t="str">
        <f>IF($C$1="ENG","cylinder incert","циліндр несиметричний")</f>
        <v>циліндр несиметричний</v>
      </c>
      <c r="C33" s="555"/>
      <c r="D33" s="132">
        <f t="shared" si="5"/>
        <v>325</v>
      </c>
      <c r="E33" s="66">
        <f t="shared" si="8"/>
        <v>390</v>
      </c>
      <c r="F33" s="26"/>
      <c r="G33" s="26"/>
      <c r="I33" s="59"/>
      <c r="J33" s="28"/>
      <c r="AC33" s="297">
        <v>390</v>
      </c>
      <c r="AD33" s="288">
        <v>390</v>
      </c>
      <c r="AE33" s="288">
        <f t="shared" si="7"/>
        <v>0</v>
      </c>
      <c r="AF33" s="288"/>
      <c r="AG33" s="288"/>
      <c r="AH33" s="288"/>
      <c r="AI33" s="288"/>
      <c r="AJ33" s="288"/>
      <c r="AK33" s="288"/>
      <c r="AL33" s="288"/>
    </row>
    <row r="34" spans="2:38">
      <c r="B34" s="554" t="str">
        <f>IF($C$1="ENG","door hindge Prestige (1 unit)","завіса Prestige (1 шт)")</f>
        <v>завіса Prestige (1 шт)</v>
      </c>
      <c r="C34" s="555"/>
      <c r="D34" s="134">
        <f t="shared" si="5"/>
        <v>216.66666666666669</v>
      </c>
      <c r="E34" s="66">
        <f t="shared" si="8"/>
        <v>260</v>
      </c>
      <c r="F34" s="26"/>
      <c r="G34" s="26"/>
      <c r="I34" s="59"/>
      <c r="J34" s="28"/>
      <c r="AC34" s="297">
        <v>260</v>
      </c>
      <c r="AD34" s="288">
        <v>260</v>
      </c>
      <c r="AE34" s="288">
        <f t="shared" si="7"/>
        <v>0</v>
      </c>
      <c r="AF34" s="288"/>
      <c r="AG34" s="288"/>
      <c r="AH34" s="288"/>
      <c r="AI34" s="288"/>
      <c r="AJ34" s="288"/>
      <c r="AK34" s="288"/>
      <c r="AL34" s="288"/>
    </row>
    <row r="35" spans="2:38">
      <c r="B35" s="554" t="str">
        <f>IF($C$1="ENG","door hinge caps (1 set)","накладка на завіси (1 к-т)")</f>
        <v>накладка на завіси (1 к-т)</v>
      </c>
      <c r="C35" s="555"/>
      <c r="D35" s="134">
        <f t="shared" si="5"/>
        <v>66.666666666666671</v>
      </c>
      <c r="E35" s="66">
        <f t="shared" si="8"/>
        <v>80</v>
      </c>
      <c r="F35" s="26"/>
      <c r="G35" s="26"/>
      <c r="H35" s="26"/>
      <c r="I35" s="59"/>
      <c r="J35" s="28"/>
      <c r="AC35" s="297">
        <v>80</v>
      </c>
      <c r="AD35" s="288">
        <v>80</v>
      </c>
      <c r="AE35" s="288">
        <f t="shared" si="7"/>
        <v>0</v>
      </c>
      <c r="AF35" s="288"/>
      <c r="AG35" s="288"/>
      <c r="AH35" s="288"/>
      <c r="AI35" s="288"/>
      <c r="AJ35" s="288"/>
      <c r="AK35" s="288"/>
      <c r="AL35" s="288"/>
    </row>
    <row r="36" spans="2:38">
      <c r="B36" s="554" t="str">
        <f>IF($C$1="ENG","door handle","дверна ручка")</f>
        <v>дверна ручка</v>
      </c>
      <c r="C36" s="555"/>
      <c r="D36" s="132">
        <f t="shared" si="5"/>
        <v>0</v>
      </c>
      <c r="E36" s="135" t="str">
        <f>IF($C$1="ENG","see Handles Price","див. Таблицю Ручки")</f>
        <v>див. Таблицю Ручки</v>
      </c>
      <c r="F36" s="140"/>
      <c r="G36" s="26"/>
      <c r="AC36" s="297">
        <v>0</v>
      </c>
      <c r="AD36" s="288">
        <f t="shared" ref="AD36" si="12">AC36/100*13+AC36</f>
        <v>0</v>
      </c>
      <c r="AE36" s="288" t="e">
        <f t="shared" si="7"/>
        <v>#DIV/0!</v>
      </c>
      <c r="AF36" s="288"/>
      <c r="AG36" s="288"/>
      <c r="AH36" s="288"/>
      <c r="AI36" s="288"/>
      <c r="AJ36" s="288"/>
      <c r="AK36" s="288"/>
      <c r="AL36" s="288"/>
    </row>
    <row r="37" spans="2:38">
      <c r="B37" s="554" t="str">
        <f>IF($C$1="ENG","perforated chipboard","ДСП трубчасте")</f>
        <v>ДСП трубчасте</v>
      </c>
      <c r="C37" s="555"/>
      <c r="D37" s="133">
        <f t="shared" si="5"/>
        <v>1083.3333333333335</v>
      </c>
      <c r="E37" s="69">
        <f>IF($W$5=0.2,D37*1.2,D37)/$W$4</f>
        <v>1300.0000000000002</v>
      </c>
      <c r="F37" s="26"/>
      <c r="G37" s="26"/>
      <c r="I37" s="59"/>
      <c r="J37" s="28"/>
      <c r="AC37" s="297">
        <v>1300</v>
      </c>
      <c r="AD37" s="288">
        <v>1300</v>
      </c>
      <c r="AE37" s="288">
        <f t="shared" si="7"/>
        <v>0</v>
      </c>
      <c r="AF37" s="288"/>
      <c r="AG37" s="288"/>
      <c r="AH37" s="288"/>
      <c r="AI37" s="288"/>
      <c r="AJ37" s="288"/>
      <c r="AK37" s="288"/>
      <c r="AL37" s="288"/>
    </row>
    <row r="38" spans="2:38" ht="14.25" customHeight="1">
      <c r="C38" s="244"/>
      <c r="D38" s="26"/>
      <c r="E38" s="26"/>
      <c r="F38" s="26"/>
      <c r="G38" s="26"/>
      <c r="H38" s="10"/>
      <c r="I38" s="8"/>
      <c r="S38" s="536" t="str">
        <f>IF($C$1="ENG",CONCATENATE("down to: ",B88),CONCATENATE("вниз до: ",B88))</f>
        <v>вниз до: Полотна каркасно-щитові: КУПАВА</v>
      </c>
      <c r="T38" s="537"/>
      <c r="U38" s="537"/>
      <c r="V38" s="537"/>
      <c r="W38" s="537"/>
    </row>
    <row r="39" spans="2:38" ht="14.25" customHeight="1">
      <c r="C39" s="244"/>
      <c r="D39" s="26"/>
      <c r="E39" s="26"/>
      <c r="F39" s="26"/>
      <c r="G39" s="26"/>
      <c r="H39" s="10"/>
      <c r="I39" s="8"/>
    </row>
    <row r="40" spans="2:38" ht="14.25" customHeight="1">
      <c r="C40" s="244"/>
      <c r="D40" s="26"/>
      <c r="E40" s="26"/>
      <c r="F40" s="26"/>
      <c r="G40" s="26"/>
      <c r="H40" s="10"/>
      <c r="I40" s="8"/>
    </row>
    <row r="41" spans="2:38" ht="14.25" customHeight="1">
      <c r="C41" s="244"/>
      <c r="D41" s="26"/>
      <c r="E41" s="26"/>
      <c r="F41" s="26"/>
      <c r="G41" s="26"/>
      <c r="H41" s="10"/>
      <c r="I41" s="8"/>
    </row>
    <row r="42" spans="2:38" ht="14.25" customHeight="1">
      <c r="C42" s="244"/>
      <c r="D42" s="26"/>
      <c r="E42" s="26"/>
      <c r="F42" s="26"/>
      <c r="G42" s="26"/>
      <c r="H42" s="10"/>
      <c r="I42" s="8"/>
    </row>
    <row r="43" spans="2:38" ht="14.25" customHeight="1">
      <c r="C43" s="244"/>
      <c r="D43" s="26"/>
      <c r="E43" s="26"/>
      <c r="F43" s="26"/>
      <c r="G43" s="26"/>
      <c r="H43" s="10"/>
      <c r="I43" s="8"/>
    </row>
    <row r="44" spans="2:38" ht="14.25" customHeight="1">
      <c r="C44" s="244"/>
      <c r="D44" s="26"/>
      <c r="E44" s="26"/>
      <c r="F44" s="26"/>
      <c r="G44" s="26"/>
      <c r="H44" s="10"/>
      <c r="I44" s="8"/>
    </row>
    <row r="45" spans="2:38" ht="14.25" customHeight="1">
      <c r="C45" s="244"/>
      <c r="D45" s="26"/>
      <c r="E45" s="26"/>
      <c r="F45" s="26"/>
      <c r="G45" s="26"/>
      <c r="H45" s="10"/>
      <c r="I45" s="8"/>
    </row>
    <row r="46" spans="2:38" ht="14.25" customHeight="1">
      <c r="C46" s="244"/>
      <c r="D46" s="26"/>
      <c r="E46" s="26"/>
      <c r="F46" s="26"/>
      <c r="G46" s="26"/>
      <c r="H46" s="10"/>
      <c r="I46" s="8"/>
    </row>
    <row r="47" spans="2:38" ht="14.25" customHeight="1">
      <c r="C47" s="244"/>
      <c r="D47" s="26"/>
      <c r="E47" s="26"/>
      <c r="F47" s="26"/>
      <c r="G47" s="26"/>
      <c r="H47" s="10"/>
      <c r="I47" s="8"/>
    </row>
    <row r="48" spans="2:38" ht="14.25" customHeight="1">
      <c r="C48" s="244"/>
      <c r="D48" s="26"/>
      <c r="E48" s="26"/>
      <c r="F48" s="26"/>
      <c r="G48" s="26"/>
      <c r="H48" s="10"/>
      <c r="I48" s="8"/>
    </row>
    <row r="49" spans="3:9" ht="14.25" customHeight="1">
      <c r="C49" s="244"/>
      <c r="D49" s="26"/>
      <c r="E49" s="26"/>
      <c r="F49" s="26"/>
      <c r="G49" s="26"/>
      <c r="H49" s="10"/>
      <c r="I49" s="8"/>
    </row>
    <row r="50" spans="3:9" ht="14.25" customHeight="1">
      <c r="C50" s="244"/>
      <c r="D50" s="26"/>
      <c r="E50" s="26"/>
      <c r="F50" s="26"/>
      <c r="G50" s="26"/>
      <c r="H50" s="10"/>
      <c r="I50" s="8"/>
    </row>
    <row r="51" spans="3:9" ht="14.25" customHeight="1">
      <c r="C51" s="244"/>
      <c r="D51" s="26"/>
      <c r="E51" s="26"/>
      <c r="F51" s="26"/>
      <c r="G51" s="26"/>
      <c r="H51" s="10"/>
      <c r="I51" s="8"/>
    </row>
    <row r="52" spans="3:9" ht="14.25" customHeight="1">
      <c r="C52" s="244"/>
      <c r="D52" s="26"/>
      <c r="E52" s="26"/>
      <c r="F52" s="26"/>
      <c r="G52" s="26"/>
      <c r="H52" s="10"/>
      <c r="I52" s="8"/>
    </row>
    <row r="53" spans="3:9" ht="14.25" customHeight="1">
      <c r="C53" s="244"/>
      <c r="D53" s="26"/>
      <c r="E53" s="26"/>
      <c r="F53" s="26"/>
      <c r="G53" s="26"/>
      <c r="H53" s="10"/>
      <c r="I53" s="8"/>
    </row>
    <row r="54" spans="3:9" ht="14.25" customHeight="1">
      <c r="C54" s="244"/>
      <c r="D54" s="26"/>
      <c r="E54" s="26"/>
      <c r="F54" s="26"/>
      <c r="G54" s="26"/>
      <c r="H54" s="10"/>
      <c r="I54" s="8"/>
    </row>
    <row r="55" spans="3:9" ht="14.25" customHeight="1">
      <c r="C55" s="244"/>
      <c r="D55" s="26"/>
      <c r="E55" s="26"/>
      <c r="F55" s="26"/>
      <c r="G55" s="26"/>
      <c r="H55" s="10"/>
      <c r="I55" s="8"/>
    </row>
    <row r="56" spans="3:9" ht="14.25" customHeight="1">
      <c r="C56" s="244"/>
      <c r="D56" s="26"/>
      <c r="E56" s="26"/>
      <c r="F56" s="26"/>
      <c r="G56" s="26"/>
      <c r="H56" s="10"/>
      <c r="I56" s="8"/>
    </row>
    <row r="57" spans="3:9" ht="14.25" customHeight="1">
      <c r="C57" s="244"/>
      <c r="D57" s="26"/>
      <c r="E57" s="26"/>
      <c r="F57" s="26"/>
      <c r="G57" s="26"/>
      <c r="H57" s="10"/>
      <c r="I57" s="8"/>
    </row>
    <row r="58" spans="3:9" ht="14.25" customHeight="1">
      <c r="C58" s="244"/>
      <c r="D58" s="26"/>
      <c r="E58" s="26"/>
      <c r="F58" s="26"/>
      <c r="G58" s="26"/>
      <c r="H58" s="10"/>
      <c r="I58" s="8"/>
    </row>
    <row r="59" spans="3:9" ht="14.25" customHeight="1">
      <c r="C59" s="244"/>
      <c r="D59" s="26"/>
      <c r="E59" s="26"/>
      <c r="F59" s="26"/>
      <c r="G59" s="26"/>
      <c r="H59" s="10"/>
      <c r="I59" s="8"/>
    </row>
    <row r="60" spans="3:9" ht="14.25" customHeight="1">
      <c r="C60" s="244"/>
      <c r="D60" s="26"/>
      <c r="E60" s="26"/>
      <c r="F60" s="26"/>
      <c r="G60" s="26"/>
      <c r="H60" s="10"/>
      <c r="I60" s="8"/>
    </row>
    <row r="61" spans="3:9" ht="14.25" customHeight="1">
      <c r="C61" s="244"/>
      <c r="D61" s="26"/>
      <c r="E61" s="26"/>
      <c r="F61" s="26"/>
      <c r="G61" s="26"/>
      <c r="H61" s="10"/>
      <c r="I61" s="8"/>
    </row>
    <row r="62" spans="3:9" ht="14.25" customHeight="1">
      <c r="C62" s="244"/>
      <c r="D62" s="26"/>
      <c r="E62" s="26"/>
      <c r="F62" s="26"/>
      <c r="G62" s="26"/>
      <c r="H62" s="10"/>
      <c r="I62" s="8"/>
    </row>
    <row r="63" spans="3:9" ht="14.25" customHeight="1">
      <c r="C63" s="244"/>
      <c r="D63" s="26"/>
      <c r="E63" s="26"/>
      <c r="F63" s="26"/>
      <c r="G63" s="26"/>
      <c r="H63" s="10"/>
      <c r="I63" s="8"/>
    </row>
    <row r="64" spans="3:9" ht="14.25" customHeight="1">
      <c r="C64" s="244"/>
      <c r="D64" s="26"/>
      <c r="E64" s="26"/>
      <c r="F64" s="26"/>
      <c r="G64" s="26"/>
      <c r="H64" s="10"/>
      <c r="I64" s="8"/>
    </row>
    <row r="65" spans="3:9" ht="14.25" customHeight="1">
      <c r="C65" s="244"/>
      <c r="D65" s="26"/>
      <c r="E65" s="26"/>
      <c r="F65" s="26"/>
      <c r="G65" s="26"/>
      <c r="H65" s="10"/>
      <c r="I65" s="8"/>
    </row>
    <row r="66" spans="3:9" ht="14.25" customHeight="1">
      <c r="C66" s="244"/>
      <c r="D66" s="26"/>
      <c r="E66" s="26"/>
      <c r="F66" s="26"/>
      <c r="G66" s="26"/>
      <c r="H66" s="10"/>
      <c r="I66" s="8"/>
    </row>
    <row r="67" spans="3:9" ht="14.25" customHeight="1">
      <c r="C67" s="244"/>
      <c r="D67" s="26"/>
      <c r="E67" s="26"/>
      <c r="F67" s="26"/>
      <c r="G67" s="26"/>
      <c r="H67" s="10"/>
      <c r="I67" s="8"/>
    </row>
    <row r="68" spans="3:9" ht="14.25" customHeight="1">
      <c r="C68" s="244"/>
      <c r="D68" s="26"/>
      <c r="E68" s="26"/>
      <c r="F68" s="26"/>
      <c r="G68" s="26"/>
      <c r="H68" s="10"/>
      <c r="I68" s="8"/>
    </row>
    <row r="69" spans="3:9" ht="14.25" customHeight="1">
      <c r="C69" s="244"/>
      <c r="D69" s="26"/>
      <c r="E69" s="26"/>
      <c r="F69" s="26"/>
      <c r="G69" s="26"/>
      <c r="H69" s="10"/>
      <c r="I69" s="8"/>
    </row>
    <row r="70" spans="3:9" ht="14.25" customHeight="1">
      <c r="C70" s="244"/>
      <c r="D70" s="26"/>
      <c r="E70" s="26"/>
      <c r="F70" s="26"/>
      <c r="G70" s="26"/>
      <c r="H70" s="10"/>
      <c r="I70" s="8"/>
    </row>
    <row r="71" spans="3:9" ht="14.25" customHeight="1">
      <c r="C71" s="244"/>
      <c r="D71" s="26"/>
      <c r="E71" s="26"/>
      <c r="F71" s="26"/>
      <c r="G71" s="26"/>
      <c r="H71" s="10"/>
      <c r="I71" s="8"/>
    </row>
    <row r="72" spans="3:9" ht="14.25" customHeight="1">
      <c r="C72" s="244"/>
      <c r="D72" s="26"/>
      <c r="E72" s="26"/>
      <c r="F72" s="26"/>
      <c r="G72" s="26"/>
      <c r="H72" s="10"/>
      <c r="I72" s="8"/>
    </row>
    <row r="73" spans="3:9" ht="14.25" customHeight="1">
      <c r="C73" s="244"/>
      <c r="D73" s="26"/>
      <c r="E73" s="26"/>
      <c r="F73" s="26"/>
      <c r="G73" s="26"/>
      <c r="H73" s="10"/>
      <c r="I73" s="8"/>
    </row>
    <row r="74" spans="3:9" ht="14.25" customHeight="1">
      <c r="C74" s="244"/>
      <c r="D74" s="26"/>
      <c r="E74" s="26"/>
      <c r="F74" s="26"/>
      <c r="G74" s="26"/>
      <c r="H74" s="10"/>
      <c r="I74" s="8"/>
    </row>
    <row r="75" spans="3:9" ht="14.25" customHeight="1">
      <c r="C75" s="244"/>
      <c r="D75" s="26"/>
      <c r="E75" s="26"/>
      <c r="F75" s="26"/>
      <c r="G75" s="26"/>
      <c r="H75" s="10"/>
      <c r="I75" s="8"/>
    </row>
    <row r="76" spans="3:9" ht="14.25" customHeight="1">
      <c r="C76" s="244"/>
      <c r="D76" s="26"/>
      <c r="E76" s="26"/>
      <c r="F76" s="26"/>
      <c r="G76" s="26"/>
      <c r="H76" s="10"/>
      <c r="I76" s="8"/>
    </row>
    <row r="77" spans="3:9" ht="14.25" customHeight="1">
      <c r="C77" s="244"/>
      <c r="D77" s="26"/>
      <c r="E77" s="26"/>
      <c r="F77" s="26"/>
      <c r="G77" s="26"/>
      <c r="H77" s="10"/>
      <c r="I77" s="8"/>
    </row>
    <row r="78" spans="3:9" ht="14.25" customHeight="1">
      <c r="C78" s="244"/>
      <c r="D78" s="26"/>
      <c r="E78" s="26"/>
      <c r="F78" s="26"/>
      <c r="G78" s="26"/>
      <c r="H78" s="10"/>
      <c r="I78" s="8"/>
    </row>
    <row r="79" spans="3:9" ht="14.25" customHeight="1">
      <c r="C79" s="244"/>
      <c r="D79" s="26"/>
      <c r="E79" s="26"/>
      <c r="F79" s="26"/>
      <c r="G79" s="26"/>
      <c r="H79" s="10"/>
      <c r="I79" s="8"/>
    </row>
    <row r="80" spans="3:9" ht="14.25" customHeight="1">
      <c r="C80" s="244"/>
      <c r="D80" s="26"/>
      <c r="E80" s="26"/>
      <c r="F80" s="26"/>
      <c r="G80" s="26"/>
      <c r="H80" s="10"/>
      <c r="I80" s="8"/>
    </row>
    <row r="81" spans="1:46" ht="14.25" customHeight="1">
      <c r="C81" s="244"/>
      <c r="D81" s="26"/>
      <c r="E81" s="26"/>
      <c r="F81" s="26"/>
      <c r="G81" s="26"/>
      <c r="H81" s="10"/>
      <c r="I81" s="8"/>
    </row>
    <row r="82" spans="1:46" ht="14.25" customHeight="1">
      <c r="C82" s="244"/>
      <c r="D82" s="26"/>
      <c r="E82" s="26"/>
      <c r="F82" s="26"/>
      <c r="G82" s="26"/>
      <c r="H82" s="10"/>
      <c r="I82" s="8"/>
    </row>
    <row r="83" spans="1:46" ht="14.25" customHeight="1">
      <c r="C83" s="244"/>
      <c r="D83" s="26"/>
      <c r="E83" s="26"/>
      <c r="F83" s="26"/>
      <c r="G83" s="26"/>
      <c r="H83" s="10"/>
      <c r="I83" s="8"/>
    </row>
    <row r="84" spans="1:46" ht="14.25" customHeight="1">
      <c r="C84" s="244"/>
      <c r="D84" s="26"/>
      <c r="E84" s="26"/>
      <c r="F84" s="26"/>
      <c r="G84" s="26"/>
      <c r="H84" s="10"/>
      <c r="I84" s="8"/>
    </row>
    <row r="85" spans="1:46" ht="14.25" customHeight="1">
      <c r="C85" s="244"/>
      <c r="D85" s="26"/>
      <c r="E85" s="26"/>
      <c r="F85" s="26"/>
      <c r="G85" s="26"/>
      <c r="H85" s="10"/>
      <c r="I85" s="8"/>
    </row>
    <row r="86" spans="1:46" ht="14.25" customHeight="1">
      <c r="C86" s="244"/>
      <c r="D86" s="26"/>
      <c r="E86" s="26"/>
      <c r="F86" s="26"/>
      <c r="G86" s="26"/>
      <c r="H86" s="10"/>
      <c r="I86" s="8"/>
    </row>
    <row r="87" spans="1:46" ht="14.25" customHeight="1">
      <c r="C87" s="244"/>
      <c r="D87" s="26"/>
      <c r="E87" s="26"/>
      <c r="F87" s="26"/>
      <c r="G87" s="26"/>
      <c r="H87" s="10"/>
      <c r="I87" s="8"/>
    </row>
    <row r="88" spans="1:46" s="8" customFormat="1">
      <c r="B88" s="550" t="str">
        <f>TITLE!$C$9</f>
        <v>Полотна каркасно-щитові: КУПАВА</v>
      </c>
      <c r="C88" s="550"/>
      <c r="D88" s="117"/>
      <c r="E88" s="117"/>
      <c r="F88" s="117"/>
      <c r="G88" s="117"/>
      <c r="H88" s="117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544" t="str">
        <f>IF($C$1="ENG",CONCATENATE("up to: ",B10),CONCATENATE("вгору до: ",B10))</f>
        <v>вгору до: Полотна каркасно-щитові: СТАНДАРТ</v>
      </c>
      <c r="T88" s="546"/>
      <c r="U88" s="546"/>
      <c r="V88" s="546"/>
      <c r="W88" s="546"/>
      <c r="AN88" s="279"/>
      <c r="AO88" s="279"/>
      <c r="AP88" s="279"/>
      <c r="AQ88" s="279"/>
      <c r="AR88" s="279"/>
      <c r="AS88" s="279"/>
      <c r="AT88" s="279"/>
    </row>
    <row r="89" spans="1:46" s="8" customFormat="1" ht="5.0999999999999996" customHeight="1">
      <c r="B89" s="116"/>
      <c r="C89" s="418"/>
      <c r="D89" s="9"/>
      <c r="E89" s="9"/>
      <c r="F89" s="10"/>
      <c r="G89" s="10"/>
      <c r="H89" s="10"/>
      <c r="T89" s="114"/>
      <c r="U89" s="114"/>
      <c r="V89" s="114"/>
      <c r="W89" s="114"/>
      <c r="AN89" s="279"/>
      <c r="AO89" s="279"/>
      <c r="AP89" s="279"/>
      <c r="AQ89" s="279"/>
      <c r="AR89" s="279"/>
      <c r="AS89" s="279"/>
      <c r="AT89" s="279"/>
    </row>
    <row r="90" spans="1:46" s="8" customFormat="1" ht="12.75" customHeight="1">
      <c r="B90" s="556" t="str">
        <f>IF($C$1="ENG","model","модель")</f>
        <v>модель</v>
      </c>
      <c r="C90" s="121" t="str">
        <f>IF($C$1="ENG","cover:","покриття:")</f>
        <v>покриття:</v>
      </c>
      <c r="D90" s="538" t="str">
        <f>IF($C$1="ENG","SIMPL / V-CELL","SIMPL / V-CELL")</f>
        <v>SIMPL / V-CELL</v>
      </c>
      <c r="E90" s="539"/>
      <c r="F90" s="538" t="str">
        <f>IF($C$1="ENG","UNI-MAT","UNI-MAT")</f>
        <v>UNI-MAT</v>
      </c>
      <c r="G90" s="539"/>
      <c r="H90" s="46"/>
      <c r="I90" s="46"/>
      <c r="J90" s="46"/>
      <c r="K90" s="46"/>
      <c r="T90" s="114"/>
      <c r="U90" s="114"/>
      <c r="V90" s="114"/>
      <c r="W90" s="114"/>
      <c r="AN90" s="279"/>
      <c r="AO90" s="279"/>
      <c r="AP90" s="279"/>
      <c r="AQ90" s="279"/>
      <c r="AR90" s="279"/>
      <c r="AS90" s="279"/>
      <c r="AT90" s="279"/>
    </row>
    <row r="91" spans="1:46" ht="12.75" customHeight="1">
      <c r="A91" s="8"/>
      <c r="B91" s="557"/>
      <c r="C91" s="122" t="str">
        <f>IF($C$1="ENG","filling:","заповнення:")</f>
        <v>заповнення:</v>
      </c>
      <c r="D91" s="540" t="str">
        <f>IF($C$1="ENG","honeycomb core ","сотове заповнення")</f>
        <v>сотове заповнення</v>
      </c>
      <c r="E91" s="541"/>
      <c r="F91" s="540" t="str">
        <f>IF($C$1="ENG","honeycomb core ","сотове заповнення")</f>
        <v>сотове заповнення</v>
      </c>
      <c r="G91" s="541"/>
      <c r="H91" s="46"/>
      <c r="I91" s="46"/>
      <c r="J91" s="46"/>
      <c r="K91" s="46"/>
      <c r="L91" s="11"/>
      <c r="M91" s="11"/>
      <c r="P91" s="11"/>
      <c r="Q91" s="11"/>
    </row>
    <row r="92" spans="1:46" ht="12.75" customHeight="1">
      <c r="A92" s="8"/>
      <c r="B92" s="558"/>
      <c r="C92" s="123" t="str">
        <f>IF($C$1="ENG","glazing:","скління:")</f>
        <v>скління:</v>
      </c>
      <c r="D92" s="542" t="str">
        <f>IF($C$1="ENG","Satin","Сатин")</f>
        <v>Сатин</v>
      </c>
      <c r="E92" s="543"/>
      <c r="F92" s="542" t="str">
        <f>IF($C$1="ENG","Satin","Сатин")</f>
        <v>Сатин</v>
      </c>
      <c r="G92" s="543"/>
      <c r="H92" s="47"/>
      <c r="I92" s="47"/>
      <c r="J92" s="47"/>
      <c r="K92" s="130"/>
      <c r="L92" s="11"/>
      <c r="M92" s="11"/>
      <c r="P92" s="11"/>
      <c r="Q92" s="11"/>
      <c r="AC92" s="1" t="str">
        <f>D90</f>
        <v>SIMPL / V-CELL</v>
      </c>
      <c r="AD92" s="1" t="str">
        <f>F90</f>
        <v>UNI-MAT</v>
      </c>
    </row>
    <row r="93" spans="1:46" ht="35.1" customHeight="1">
      <c r="A93" s="8"/>
      <c r="B93" s="16" t="s">
        <v>14</v>
      </c>
      <c r="C93" s="17"/>
      <c r="D93" s="18">
        <f>IF(AC93="","",(1-$W$2)*(AC93/1.2))</f>
        <v>3258.3333333333335</v>
      </c>
      <c r="E93" s="66">
        <f>IF($W$5=0.2,D93*1.2,D93)/$W$4</f>
        <v>3910</v>
      </c>
      <c r="F93" s="18">
        <f>IF(AD93="","",(1-$W$2)*(AD93/1.2))</f>
        <v>3708.3333333333335</v>
      </c>
      <c r="G93" s="66">
        <f>IF($W$5=0.2,F93*1.2,F93)/$W$4</f>
        <v>4450</v>
      </c>
      <c r="H93" s="28"/>
      <c r="I93" s="59"/>
      <c r="J93" s="28"/>
      <c r="K93" s="59"/>
      <c r="L93" s="103"/>
      <c r="M93" s="59"/>
      <c r="N93" s="103"/>
      <c r="O93" s="59"/>
      <c r="P93" s="103"/>
      <c r="Q93" s="59"/>
      <c r="R93" s="103"/>
      <c r="S93" s="59"/>
      <c r="T93" s="103"/>
      <c r="U93" s="20"/>
      <c r="V93" s="103"/>
      <c r="W93" s="20"/>
      <c r="AC93" s="331">
        <f>3570+340</f>
        <v>3910</v>
      </c>
      <c r="AD93" s="331">
        <f>4110+340</f>
        <v>4450</v>
      </c>
      <c r="AE93" s="288">
        <v>3570</v>
      </c>
      <c r="AF93" s="288">
        <v>4110</v>
      </c>
      <c r="AG93" s="288">
        <f>AE93/AC93-1</f>
        <v>-8.6956521739130488E-2</v>
      </c>
      <c r="AH93" s="288">
        <f>AF93/AD93-1</f>
        <v>-7.6404494382022459E-2</v>
      </c>
      <c r="AI93" s="288"/>
      <c r="AJ93" s="288"/>
      <c r="AK93" s="288"/>
      <c r="AL93" s="288"/>
    </row>
    <row r="94" spans="1:46" ht="35.1" customHeight="1">
      <c r="A94" s="8"/>
      <c r="B94" s="23" t="s">
        <v>17</v>
      </c>
      <c r="C94" s="24"/>
      <c r="D94" s="25">
        <f>IF(AC94="","",(1-$W$2)*(AC94/1.2))</f>
        <v>3666.666666666667</v>
      </c>
      <c r="E94" s="69">
        <f>IF($W$5=0.2,D94*1.2,D94)/$W$4</f>
        <v>4400</v>
      </c>
      <c r="F94" s="25">
        <f>IF(AD94="","",(1-$W$2)*(AD94/1.2))</f>
        <v>4166.666666666667</v>
      </c>
      <c r="G94" s="69">
        <f>IF($W$5=0.2,F94*1.2,F94)/$W$4</f>
        <v>5000</v>
      </c>
      <c r="H94" s="28"/>
      <c r="I94" s="59"/>
      <c r="J94" s="28"/>
      <c r="K94" s="59"/>
      <c r="L94" s="103"/>
      <c r="M94" s="59"/>
      <c r="N94" s="103"/>
      <c r="O94" s="59"/>
      <c r="P94" s="103"/>
      <c r="Q94" s="59"/>
      <c r="R94" s="103"/>
      <c r="S94" s="59"/>
      <c r="T94" s="103"/>
      <c r="U94" s="20"/>
      <c r="V94" s="103"/>
      <c r="W94" s="20"/>
      <c r="AC94" s="331">
        <f>4060+340</f>
        <v>4400</v>
      </c>
      <c r="AD94" s="331">
        <f>4660+340</f>
        <v>5000</v>
      </c>
      <c r="AE94" s="288">
        <v>4060</v>
      </c>
      <c r="AF94" s="288">
        <v>4660</v>
      </c>
      <c r="AG94" s="288">
        <f>AE94/AC94-1</f>
        <v>-7.7272727272727271E-2</v>
      </c>
      <c r="AH94" s="288">
        <f>AF94/AD94-1</f>
        <v>-6.7999999999999949E-2</v>
      </c>
      <c r="AI94" s="288"/>
      <c r="AJ94" s="288"/>
      <c r="AK94" s="288"/>
      <c r="AL94" s="288"/>
    </row>
    <row r="95" spans="1:46">
      <c r="C95" s="244"/>
      <c r="D95" s="26"/>
      <c r="E95" s="26"/>
      <c r="F95" s="26"/>
      <c r="G95" s="26"/>
      <c r="H95" s="60"/>
      <c r="I95" s="48"/>
      <c r="J95" s="48"/>
      <c r="K95" s="48"/>
    </row>
    <row r="96" spans="1:46">
      <c r="B96" s="211" t="str">
        <f>IF($C$1="ENG","For additonal charge:","Послуги за додаткову плату:")</f>
        <v>Послуги за додаткову плату:</v>
      </c>
      <c r="C96" s="419"/>
      <c r="D96" s="212"/>
      <c r="E96" s="213"/>
      <c r="F96" s="26"/>
      <c r="G96" s="26"/>
      <c r="H96" s="60"/>
      <c r="I96" s="48"/>
      <c r="J96" s="48"/>
      <c r="K96" s="48"/>
    </row>
    <row r="97" spans="2:38" ht="5.0999999999999996" customHeight="1">
      <c r="B97" s="27"/>
      <c r="C97" s="244"/>
      <c r="D97" s="126"/>
      <c r="E97" s="26"/>
      <c r="F97" s="26"/>
      <c r="G97" s="26"/>
      <c r="H97" s="5"/>
    </row>
    <row r="98" spans="2:38">
      <c r="B98" s="561" t="str">
        <f>IF($C$1="ENG","Ventilation cut","вентиляційний підріз")</f>
        <v>вентиляційний підріз</v>
      </c>
      <c r="C98" s="562"/>
      <c r="D98" s="403">
        <f>IF(AC98="","",(1-$W$2)*(AC98/1.2))</f>
        <v>141.66666666666669</v>
      </c>
      <c r="E98" s="91">
        <f>IF($W$5=0.2,D98*1.2,D98)/$W$4</f>
        <v>170.00000000000003</v>
      </c>
      <c r="F98" s="26"/>
      <c r="G98" s="26"/>
      <c r="I98" s="59"/>
      <c r="J98" s="28"/>
      <c r="AC98" s="297">
        <v>170</v>
      </c>
      <c r="AD98" s="288">
        <v>170</v>
      </c>
      <c r="AE98" s="288">
        <f>AD98/AC98-1</f>
        <v>0</v>
      </c>
      <c r="AF98" s="288"/>
      <c r="AG98" s="288"/>
      <c r="AH98" s="288"/>
      <c r="AI98" s="288"/>
      <c r="AJ98" s="288"/>
      <c r="AK98" s="288"/>
      <c r="AL98" s="288"/>
    </row>
    <row r="99" spans="2:38">
      <c r="B99" s="554" t="str">
        <f>IF($C$1="ENG","third door hindge","третя завіса")</f>
        <v>третя завіса</v>
      </c>
      <c r="C99" s="555"/>
      <c r="D99" s="404">
        <f t="shared" ref="D99:D110" si="13">IF(AC99="","",(1-$W$2)*(AC99/1.2))</f>
        <v>66.666666666666671</v>
      </c>
      <c r="E99" s="92">
        <f>IF($W$5=0.2,D99*1.2,D99)/$W$4</f>
        <v>80</v>
      </c>
      <c r="F99" s="26"/>
      <c r="G99" s="26"/>
      <c r="H99" s="5"/>
      <c r="I99" s="388"/>
      <c r="AC99" s="297">
        <v>80</v>
      </c>
      <c r="AD99" s="288">
        <v>80</v>
      </c>
      <c r="AE99" s="288">
        <f t="shared" ref="AE99:AE110" si="14">AD99/AC99-1</f>
        <v>0</v>
      </c>
      <c r="AF99" s="288"/>
      <c r="AG99" s="288"/>
      <c r="AH99" s="288"/>
      <c r="AI99" s="288"/>
      <c r="AJ99" s="288"/>
      <c r="AK99" s="288"/>
      <c r="AL99" s="288"/>
    </row>
    <row r="100" spans="2:38">
      <c r="B100" s="554" t="str">
        <f>IF($C$1="ENG","glazing Graphite / Bronze","скло Графіт / Бронза")</f>
        <v>скло Графіт / Бронза</v>
      </c>
      <c r="C100" s="555"/>
      <c r="D100" s="403">
        <f>IF(AC100="","",(1-$W$2)*(AC100/1.2))</f>
        <v>458.33333333333337</v>
      </c>
      <c r="E100" s="92">
        <f t="shared" ref="E100:E108" si="15">IF($W$5=0.2,D100*1.2,D100)/$W$4</f>
        <v>550</v>
      </c>
      <c r="F100" s="140"/>
      <c r="G100" s="140"/>
      <c r="AC100" s="297">
        <v>550</v>
      </c>
      <c r="AD100" s="288">
        <v>550</v>
      </c>
      <c r="AE100" s="288">
        <f t="shared" si="14"/>
        <v>0</v>
      </c>
      <c r="AF100" s="288"/>
      <c r="AG100" s="288"/>
      <c r="AH100" s="288"/>
      <c r="AI100" s="288"/>
      <c r="AJ100" s="288"/>
      <c r="AK100" s="288"/>
      <c r="AL100" s="288"/>
    </row>
    <row r="101" spans="2:38">
      <c r="B101" s="554" t="str">
        <f>IF($C$1="ENG","door lock Soft","замок Soft")</f>
        <v>замок Soft</v>
      </c>
      <c r="C101" s="555"/>
      <c r="D101" s="405">
        <f t="shared" si="13"/>
        <v>458.33333333333337</v>
      </c>
      <c r="E101" s="92">
        <f t="shared" si="15"/>
        <v>550</v>
      </c>
      <c r="F101" s="26"/>
      <c r="G101" s="26"/>
      <c r="H101" s="5"/>
      <c r="AC101" s="297">
        <v>550</v>
      </c>
      <c r="AD101" s="288">
        <v>550</v>
      </c>
      <c r="AE101" s="288">
        <f t="shared" si="14"/>
        <v>0</v>
      </c>
      <c r="AF101" s="288"/>
      <c r="AG101" s="288"/>
      <c r="AH101" s="288"/>
      <c r="AI101" s="288"/>
      <c r="AJ101" s="288"/>
      <c r="AK101" s="288"/>
      <c r="AL101" s="288"/>
    </row>
    <row r="102" spans="2:38">
      <c r="B102" s="554" t="str">
        <f>IF($C$1="ENG","door lock Soft black","замок Soft чорн.")</f>
        <v>замок Soft чорн.</v>
      </c>
      <c r="C102" s="555"/>
      <c r="D102" s="405">
        <f t="shared" ref="D102" si="16">IF(AC102="","",(1-$W$2)*(AC102/1.2))</f>
        <v>566.66666666666674</v>
      </c>
      <c r="E102" s="92">
        <f t="shared" ref="E102" si="17">IF($W$5=0.2,D102*1.2,D102)/$W$4</f>
        <v>680.00000000000011</v>
      </c>
      <c r="F102" s="26"/>
      <c r="G102" s="26"/>
      <c r="H102" s="5"/>
      <c r="AC102" s="297">
        <v>680</v>
      </c>
      <c r="AD102" s="288"/>
      <c r="AE102" s="288"/>
      <c r="AF102" s="288"/>
      <c r="AG102" s="288"/>
      <c r="AH102" s="288"/>
      <c r="AI102" s="288"/>
      <c r="AJ102" s="288"/>
      <c r="AK102" s="288"/>
      <c r="AL102" s="288"/>
    </row>
    <row r="103" spans="2:38">
      <c r="B103" s="554" t="str">
        <f>IF($C$1="ENG","door lock Magnet","замок Magnet")</f>
        <v>замок Magnet</v>
      </c>
      <c r="C103" s="555"/>
      <c r="D103" s="405">
        <f t="shared" si="13"/>
        <v>666.66666666666674</v>
      </c>
      <c r="E103" s="92">
        <f t="shared" si="15"/>
        <v>800.00000000000011</v>
      </c>
      <c r="F103" s="26"/>
      <c r="G103" s="26"/>
      <c r="H103" s="5"/>
      <c r="AC103" s="297">
        <v>800</v>
      </c>
      <c r="AD103" s="288">
        <v>800</v>
      </c>
      <c r="AE103" s="288">
        <f t="shared" si="14"/>
        <v>0</v>
      </c>
      <c r="AF103" s="288"/>
      <c r="AG103" s="288"/>
      <c r="AH103" s="288"/>
      <c r="AI103" s="288"/>
      <c r="AJ103" s="288"/>
      <c r="AK103" s="288"/>
      <c r="AL103" s="288"/>
    </row>
    <row r="104" spans="2:38">
      <c r="B104" s="409"/>
      <c r="C104" s="409" t="str">
        <f>IF($C$1="ENG","door lock Magnet black","замок Magnet чорн.")</f>
        <v>замок Magnet чорн.</v>
      </c>
      <c r="D104" s="414">
        <f t="shared" si="13"/>
        <v>833.33333333333337</v>
      </c>
      <c r="E104" s="92">
        <f t="shared" si="15"/>
        <v>1000</v>
      </c>
      <c r="F104" s="26"/>
      <c r="G104" s="26"/>
      <c r="H104" s="5"/>
      <c r="AC104" s="297">
        <v>1000</v>
      </c>
      <c r="AD104" s="288"/>
      <c r="AE104" s="288"/>
      <c r="AF104" s="288"/>
      <c r="AG104" s="288"/>
      <c r="AH104" s="288"/>
      <c r="AI104" s="288"/>
      <c r="AJ104" s="288"/>
      <c r="AK104" s="288"/>
      <c r="AL104" s="288"/>
    </row>
    <row r="105" spans="2:38">
      <c r="B105" s="554" t="str">
        <f>IF($C$1="ENG","door handle-lock (for sliding doors)","ручка-замок (для дверей купе)")</f>
        <v>ручка-замок (для дверей купе)</v>
      </c>
      <c r="C105" s="555"/>
      <c r="D105" s="405">
        <f t="shared" si="13"/>
        <v>466.66666666666669</v>
      </c>
      <c r="E105" s="92">
        <f t="shared" si="15"/>
        <v>560</v>
      </c>
      <c r="F105" s="26"/>
      <c r="G105" s="26"/>
      <c r="H105" s="5"/>
      <c r="AC105" s="297">
        <v>560</v>
      </c>
      <c r="AD105" s="288">
        <v>560</v>
      </c>
      <c r="AE105" s="288">
        <f t="shared" si="14"/>
        <v>0</v>
      </c>
      <c r="AF105" s="288"/>
      <c r="AG105" s="288"/>
      <c r="AH105" s="288"/>
      <c r="AI105" s="288"/>
      <c r="AJ105" s="288"/>
      <c r="AK105" s="288"/>
      <c r="AL105" s="288"/>
    </row>
    <row r="106" spans="2:38">
      <c r="B106" s="554" t="str">
        <f>IF($C$1="ENG","cylinder incert","циліндр несиметричний")</f>
        <v>циліндр несиметричний</v>
      </c>
      <c r="C106" s="555"/>
      <c r="D106" s="403">
        <f t="shared" si="13"/>
        <v>325</v>
      </c>
      <c r="E106" s="92">
        <f t="shared" si="15"/>
        <v>390</v>
      </c>
      <c r="F106" s="26"/>
      <c r="G106" s="26"/>
      <c r="AC106" s="297">
        <v>390</v>
      </c>
      <c r="AD106" s="288">
        <v>390</v>
      </c>
      <c r="AE106" s="288">
        <f t="shared" si="14"/>
        <v>0</v>
      </c>
      <c r="AF106" s="288"/>
      <c r="AG106" s="288"/>
      <c r="AH106" s="288"/>
      <c r="AI106" s="288"/>
      <c r="AJ106" s="288"/>
      <c r="AK106" s="288"/>
      <c r="AL106" s="288"/>
    </row>
    <row r="107" spans="2:38">
      <c r="B107" s="554" t="str">
        <f>IF($C$1="ENG","door hindge Prestige (1 unit)","завіса Prestige (1 шт)")</f>
        <v>завіса Prestige (1 шт)</v>
      </c>
      <c r="C107" s="555"/>
      <c r="D107" s="406">
        <f t="shared" si="13"/>
        <v>216.66666666666669</v>
      </c>
      <c r="E107" s="92">
        <f t="shared" si="15"/>
        <v>260</v>
      </c>
      <c r="F107" s="26"/>
      <c r="G107" s="26"/>
      <c r="AC107" s="297">
        <v>260</v>
      </c>
      <c r="AD107" s="288">
        <v>260</v>
      </c>
      <c r="AE107" s="288">
        <f t="shared" si="14"/>
        <v>0</v>
      </c>
      <c r="AF107" s="288"/>
      <c r="AG107" s="288"/>
      <c r="AH107" s="288"/>
      <c r="AI107" s="288"/>
      <c r="AJ107" s="288"/>
      <c r="AK107" s="288"/>
      <c r="AL107" s="288"/>
    </row>
    <row r="108" spans="2:38">
      <c r="B108" s="554" t="str">
        <f>IF($C$1="ENG","door hinge caps (1 set)","накладка на завіси (1 к-т)")</f>
        <v>накладка на завіси (1 к-т)</v>
      </c>
      <c r="C108" s="555"/>
      <c r="D108" s="406">
        <f t="shared" si="13"/>
        <v>66.666666666666671</v>
      </c>
      <c r="E108" s="92">
        <f t="shared" si="15"/>
        <v>80</v>
      </c>
      <c r="F108" s="26"/>
      <c r="G108" s="26"/>
      <c r="AC108" s="297">
        <v>80</v>
      </c>
      <c r="AD108" s="288">
        <v>80</v>
      </c>
      <c r="AE108" s="288">
        <f t="shared" si="14"/>
        <v>0</v>
      </c>
      <c r="AF108" s="288"/>
      <c r="AG108" s="288"/>
      <c r="AH108" s="288"/>
      <c r="AI108" s="288"/>
      <c r="AJ108" s="288"/>
      <c r="AK108" s="288"/>
      <c r="AL108" s="288"/>
    </row>
    <row r="109" spans="2:38">
      <c r="B109" s="554" t="str">
        <f>IF($C$1="ENG","door handle","дверна ручка")</f>
        <v>дверна ручка</v>
      </c>
      <c r="C109" s="555"/>
      <c r="D109" s="403">
        <f t="shared" si="13"/>
        <v>0</v>
      </c>
      <c r="E109" s="295" t="str">
        <f>IF($C$1="ENG","see Handles Price","див. Таблицю Ручки")</f>
        <v>див. Таблицю Ручки</v>
      </c>
      <c r="F109" s="26"/>
      <c r="G109" s="26"/>
      <c r="AC109" s="297">
        <f t="shared" ref="AC109:AD109" si="18">AB109/100*13+AB109</f>
        <v>0</v>
      </c>
      <c r="AD109" s="288">
        <f t="shared" si="18"/>
        <v>0</v>
      </c>
      <c r="AE109" s="288" t="e">
        <f t="shared" si="14"/>
        <v>#DIV/0!</v>
      </c>
      <c r="AF109" s="288"/>
      <c r="AG109" s="288"/>
      <c r="AH109" s="288"/>
      <c r="AI109" s="288"/>
      <c r="AJ109" s="288"/>
      <c r="AK109" s="288"/>
      <c r="AL109" s="288"/>
    </row>
    <row r="110" spans="2:38">
      <c r="B110" s="554" t="str">
        <f>IF($C$1="ENG","perforated chipboard","ДСП трубчасте")</f>
        <v>ДСП трубчасте</v>
      </c>
      <c r="C110" s="555"/>
      <c r="D110" s="407">
        <f t="shared" si="13"/>
        <v>1083.3333333333335</v>
      </c>
      <c r="E110" s="93">
        <f>IF($W$5=0.2,D110*1.2,D110)/$W$4</f>
        <v>1300.0000000000002</v>
      </c>
      <c r="F110" s="26"/>
      <c r="G110" s="26"/>
      <c r="AC110" s="297">
        <v>1300</v>
      </c>
      <c r="AD110" s="288">
        <v>1300</v>
      </c>
      <c r="AE110" s="288">
        <f t="shared" si="14"/>
        <v>0</v>
      </c>
      <c r="AF110" s="288"/>
      <c r="AG110" s="288"/>
      <c r="AH110" s="288"/>
      <c r="AI110" s="288"/>
      <c r="AJ110" s="288"/>
      <c r="AK110" s="288"/>
      <c r="AL110" s="288"/>
    </row>
    <row r="111" spans="2:38" ht="14.25" customHeight="1">
      <c r="C111" s="244"/>
      <c r="D111" s="26"/>
      <c r="E111" s="26"/>
      <c r="F111" s="26"/>
      <c r="G111" s="26"/>
      <c r="H111" s="5"/>
      <c r="S111" s="536" t="str">
        <f>IF($C$1="ENG",CONCATENATE("down to: B209",),CONCATENATE("вниз до: ",B161))</f>
        <v>вниз до: Полотна каркасно-щитові: ГЕОМЕТРІЯ</v>
      </c>
      <c r="T111" s="537"/>
      <c r="U111" s="537"/>
      <c r="V111" s="537"/>
      <c r="W111" s="537"/>
    </row>
    <row r="112" spans="2:38" ht="14.25" customHeight="1">
      <c r="C112" s="244"/>
      <c r="D112" s="26"/>
      <c r="E112" s="26"/>
      <c r="F112" s="26"/>
      <c r="G112" s="26"/>
      <c r="H112" s="5"/>
    </row>
    <row r="113" spans="3:8" ht="14.25" customHeight="1">
      <c r="C113" s="244"/>
      <c r="D113" s="26"/>
      <c r="F113" s="26"/>
      <c r="G113" s="26"/>
      <c r="H113" s="5"/>
    </row>
    <row r="114" spans="3:8" ht="14.25" customHeight="1">
      <c r="C114" s="244"/>
      <c r="D114" s="26"/>
      <c r="E114" s="26"/>
      <c r="F114" s="26"/>
      <c r="G114" s="26"/>
      <c r="H114" s="5"/>
    </row>
    <row r="115" spans="3:8" ht="14.25" customHeight="1">
      <c r="C115" s="244"/>
      <c r="D115" s="26"/>
      <c r="E115" s="26"/>
      <c r="F115" s="26"/>
      <c r="G115" s="26"/>
      <c r="H115" s="5"/>
    </row>
    <row r="116" spans="3:8" ht="14.25" customHeight="1">
      <c r="C116" s="244"/>
      <c r="D116" s="26"/>
      <c r="E116" s="26"/>
      <c r="F116" s="26"/>
      <c r="G116" s="26"/>
      <c r="H116" s="5"/>
    </row>
    <row r="117" spans="3:8" ht="14.25" customHeight="1">
      <c r="C117" s="244"/>
      <c r="D117" s="26"/>
      <c r="E117" s="26"/>
      <c r="F117" s="26"/>
      <c r="G117" s="26"/>
      <c r="H117" s="5"/>
    </row>
    <row r="118" spans="3:8" ht="14.25" customHeight="1">
      <c r="C118" s="244"/>
      <c r="D118" s="26"/>
      <c r="E118" s="26"/>
      <c r="F118" s="26"/>
      <c r="G118" s="26"/>
      <c r="H118" s="5"/>
    </row>
    <row r="119" spans="3:8" ht="14.25" customHeight="1">
      <c r="C119" s="244"/>
      <c r="D119" s="26"/>
      <c r="E119" s="26"/>
      <c r="F119" s="26"/>
      <c r="G119" s="26"/>
      <c r="H119" s="5"/>
    </row>
    <row r="120" spans="3:8" ht="14.25" customHeight="1">
      <c r="C120" s="244"/>
      <c r="D120" s="26"/>
      <c r="E120" s="26"/>
      <c r="F120" s="26"/>
      <c r="G120" s="26"/>
      <c r="H120" s="5"/>
    </row>
    <row r="121" spans="3:8" ht="14.25" customHeight="1">
      <c r="C121" s="244"/>
      <c r="D121" s="26"/>
      <c r="E121" s="26"/>
      <c r="F121" s="26"/>
      <c r="G121" s="26"/>
      <c r="H121" s="5"/>
    </row>
    <row r="122" spans="3:8" ht="14.25" customHeight="1">
      <c r="C122" s="244"/>
      <c r="D122" s="26"/>
      <c r="E122" s="26"/>
      <c r="F122" s="26"/>
      <c r="G122" s="26"/>
      <c r="H122" s="5"/>
    </row>
    <row r="123" spans="3:8" ht="14.25" customHeight="1">
      <c r="C123" s="244"/>
      <c r="D123" s="26"/>
      <c r="E123" s="26"/>
      <c r="F123" s="26"/>
      <c r="G123" s="26"/>
      <c r="H123" s="5"/>
    </row>
    <row r="124" spans="3:8" ht="14.25" customHeight="1">
      <c r="C124" s="244"/>
      <c r="D124" s="26"/>
      <c r="E124" s="26"/>
      <c r="F124" s="26"/>
      <c r="G124" s="26"/>
      <c r="H124" s="5"/>
    </row>
    <row r="125" spans="3:8" ht="14.25" customHeight="1">
      <c r="C125" s="244"/>
      <c r="D125" s="26"/>
      <c r="E125" s="26"/>
      <c r="F125" s="26"/>
      <c r="G125" s="26"/>
      <c r="H125" s="5"/>
    </row>
    <row r="126" spans="3:8" ht="14.25" customHeight="1">
      <c r="C126" s="244"/>
      <c r="D126" s="26"/>
      <c r="E126" s="26"/>
      <c r="F126" s="26"/>
      <c r="G126" s="26"/>
      <c r="H126" s="5"/>
    </row>
    <row r="127" spans="3:8" ht="14.25" customHeight="1">
      <c r="C127" s="244"/>
      <c r="D127" s="26"/>
      <c r="E127" s="26"/>
      <c r="F127" s="26"/>
      <c r="G127" s="26"/>
      <c r="H127" s="5"/>
    </row>
    <row r="128" spans="3:8" ht="14.25" customHeight="1">
      <c r="C128" s="244"/>
      <c r="D128" s="26"/>
      <c r="E128" s="26"/>
      <c r="F128" s="26"/>
      <c r="G128" s="26"/>
      <c r="H128" s="5"/>
    </row>
    <row r="129" spans="3:8" ht="14.25" customHeight="1">
      <c r="C129" s="244"/>
      <c r="D129" s="26"/>
      <c r="E129" s="26"/>
      <c r="F129" s="26"/>
      <c r="G129" s="26"/>
      <c r="H129" s="5"/>
    </row>
    <row r="130" spans="3:8" ht="14.25" customHeight="1">
      <c r="C130" s="244"/>
      <c r="D130" s="26"/>
      <c r="E130" s="26"/>
      <c r="F130" s="26"/>
      <c r="G130" s="26"/>
      <c r="H130" s="5"/>
    </row>
    <row r="131" spans="3:8" ht="14.25" customHeight="1">
      <c r="C131" s="244"/>
      <c r="D131" s="26"/>
      <c r="E131" s="26"/>
      <c r="F131" s="26"/>
      <c r="G131" s="26"/>
      <c r="H131" s="5"/>
    </row>
    <row r="132" spans="3:8" ht="14.25" customHeight="1">
      <c r="C132" s="244"/>
      <c r="D132" s="26"/>
      <c r="E132" s="26"/>
      <c r="F132" s="26"/>
      <c r="G132" s="26"/>
      <c r="H132" s="5"/>
    </row>
    <row r="133" spans="3:8" ht="14.25" customHeight="1">
      <c r="C133" s="244"/>
      <c r="D133" s="26"/>
      <c r="E133" s="26"/>
      <c r="F133" s="26"/>
      <c r="G133" s="26"/>
      <c r="H133" s="5"/>
    </row>
    <row r="134" spans="3:8" ht="14.25" customHeight="1">
      <c r="C134" s="244"/>
      <c r="D134" s="26"/>
      <c r="E134" s="26"/>
      <c r="F134" s="26"/>
      <c r="G134" s="26"/>
      <c r="H134" s="5"/>
    </row>
    <row r="135" spans="3:8" ht="14.25" customHeight="1">
      <c r="C135" s="244"/>
      <c r="D135" s="26"/>
      <c r="E135" s="26"/>
      <c r="F135" s="26"/>
      <c r="G135" s="26"/>
      <c r="H135" s="5"/>
    </row>
    <row r="136" spans="3:8" ht="14.25" customHeight="1">
      <c r="C136" s="244"/>
      <c r="D136" s="26"/>
      <c r="E136" s="26"/>
      <c r="F136" s="26"/>
      <c r="G136" s="26"/>
      <c r="H136" s="5"/>
    </row>
    <row r="137" spans="3:8" ht="14.25" customHeight="1">
      <c r="C137" s="244"/>
      <c r="D137" s="26"/>
      <c r="E137" s="26"/>
      <c r="F137" s="26"/>
      <c r="G137" s="26"/>
      <c r="H137" s="5"/>
    </row>
    <row r="138" spans="3:8" ht="14.25" customHeight="1">
      <c r="C138" s="244"/>
      <c r="D138" s="26"/>
      <c r="E138" s="26"/>
      <c r="F138" s="26"/>
      <c r="G138" s="26"/>
      <c r="H138" s="5"/>
    </row>
    <row r="139" spans="3:8" ht="14.25" customHeight="1">
      <c r="C139" s="244"/>
      <c r="D139" s="26"/>
      <c r="E139" s="26"/>
      <c r="F139" s="26"/>
      <c r="G139" s="26"/>
      <c r="H139" s="5"/>
    </row>
    <row r="140" spans="3:8" ht="14.25" customHeight="1">
      <c r="C140" s="244"/>
      <c r="D140" s="26"/>
      <c r="E140" s="26"/>
      <c r="F140" s="26"/>
      <c r="G140" s="26"/>
      <c r="H140" s="5"/>
    </row>
    <row r="141" spans="3:8" ht="14.25" customHeight="1">
      <c r="C141" s="244"/>
      <c r="D141" s="26"/>
      <c r="E141" s="26"/>
      <c r="F141" s="26"/>
      <c r="G141" s="26"/>
      <c r="H141" s="5"/>
    </row>
    <row r="142" spans="3:8" ht="14.25" customHeight="1">
      <c r="C142" s="244"/>
      <c r="D142" s="26"/>
      <c r="E142" s="26"/>
      <c r="F142" s="26"/>
      <c r="G142" s="26"/>
      <c r="H142" s="5"/>
    </row>
    <row r="143" spans="3:8" ht="14.25" customHeight="1">
      <c r="C143" s="244"/>
      <c r="D143" s="26"/>
      <c r="E143" s="26"/>
      <c r="F143" s="26"/>
      <c r="G143" s="26"/>
      <c r="H143" s="5"/>
    </row>
    <row r="144" spans="3:8" ht="14.25" customHeight="1">
      <c r="C144" s="244"/>
      <c r="D144" s="26"/>
      <c r="E144" s="26"/>
      <c r="F144" s="26"/>
      <c r="G144" s="26"/>
      <c r="H144" s="5"/>
    </row>
    <row r="145" spans="3:8" ht="14.25" customHeight="1">
      <c r="C145" s="244"/>
      <c r="D145" s="26"/>
      <c r="E145" s="26"/>
      <c r="F145" s="26"/>
      <c r="G145" s="26"/>
      <c r="H145" s="5"/>
    </row>
    <row r="146" spans="3:8" ht="14.25" customHeight="1">
      <c r="C146" s="244"/>
      <c r="D146" s="26"/>
      <c r="E146" s="26"/>
      <c r="F146" s="26"/>
      <c r="G146" s="26"/>
      <c r="H146" s="5"/>
    </row>
    <row r="147" spans="3:8" ht="14.25" customHeight="1">
      <c r="C147" s="244"/>
      <c r="D147" s="26"/>
      <c r="E147" s="26"/>
      <c r="F147" s="26"/>
      <c r="G147" s="26"/>
      <c r="H147" s="5"/>
    </row>
    <row r="148" spans="3:8" ht="14.25" customHeight="1">
      <c r="C148" s="244"/>
      <c r="D148" s="26"/>
      <c r="E148" s="26"/>
      <c r="F148" s="26"/>
      <c r="G148" s="26"/>
      <c r="H148" s="5"/>
    </row>
    <row r="149" spans="3:8" ht="14.25" customHeight="1">
      <c r="C149" s="244"/>
      <c r="D149" s="26"/>
      <c r="E149" s="26"/>
      <c r="F149" s="26"/>
      <c r="G149" s="26"/>
      <c r="H149" s="5"/>
    </row>
    <row r="150" spans="3:8" ht="14.25" customHeight="1">
      <c r="C150" s="244"/>
      <c r="D150" s="26"/>
      <c r="E150" s="26"/>
      <c r="F150" s="26"/>
      <c r="G150" s="26"/>
      <c r="H150" s="5"/>
    </row>
    <row r="151" spans="3:8" ht="14.25" customHeight="1">
      <c r="C151" s="244"/>
      <c r="D151" s="26"/>
      <c r="E151" s="26"/>
      <c r="F151" s="26"/>
      <c r="G151" s="26"/>
      <c r="H151" s="5"/>
    </row>
    <row r="152" spans="3:8" ht="14.25" customHeight="1">
      <c r="C152" s="244"/>
      <c r="D152" s="26"/>
      <c r="E152" s="26"/>
      <c r="F152" s="26"/>
      <c r="G152" s="26"/>
      <c r="H152" s="5"/>
    </row>
    <row r="153" spans="3:8" ht="14.25" customHeight="1">
      <c r="C153" s="244"/>
      <c r="D153" s="26"/>
      <c r="E153" s="26"/>
      <c r="F153" s="26"/>
      <c r="G153" s="26"/>
      <c r="H153" s="5"/>
    </row>
    <row r="154" spans="3:8" ht="14.25" customHeight="1">
      <c r="C154" s="244"/>
      <c r="D154" s="26"/>
      <c r="E154" s="26"/>
      <c r="F154" s="26"/>
      <c r="G154" s="26"/>
      <c r="H154" s="5"/>
    </row>
    <row r="155" spans="3:8" ht="14.25" customHeight="1">
      <c r="C155" s="244"/>
      <c r="D155" s="26"/>
      <c r="E155" s="26"/>
      <c r="F155" s="26"/>
      <c r="G155" s="26"/>
      <c r="H155" s="5"/>
    </row>
    <row r="156" spans="3:8" ht="14.25" customHeight="1">
      <c r="C156" s="244"/>
      <c r="D156" s="26"/>
      <c r="E156" s="26"/>
      <c r="F156" s="26"/>
      <c r="G156" s="26"/>
      <c r="H156" s="5"/>
    </row>
    <row r="157" spans="3:8" ht="14.25" customHeight="1">
      <c r="C157" s="244"/>
      <c r="D157" s="26"/>
      <c r="E157" s="26"/>
      <c r="F157" s="26"/>
      <c r="G157" s="26"/>
      <c r="H157" s="5"/>
    </row>
    <row r="158" spans="3:8" ht="14.25" customHeight="1">
      <c r="C158" s="244"/>
      <c r="D158" s="26"/>
      <c r="E158" s="26"/>
      <c r="F158" s="26"/>
      <c r="G158" s="26"/>
      <c r="H158" s="5"/>
    </row>
    <row r="159" spans="3:8" ht="14.25" customHeight="1">
      <c r="C159" s="244"/>
      <c r="D159" s="26"/>
      <c r="E159" s="26"/>
      <c r="F159" s="26"/>
      <c r="G159" s="26"/>
      <c r="H159" s="5"/>
    </row>
    <row r="160" spans="3:8" ht="14.25" customHeight="1">
      <c r="C160" s="244"/>
      <c r="D160" s="26"/>
      <c r="E160" s="26"/>
      <c r="F160" s="26"/>
      <c r="G160" s="26"/>
      <c r="H160" s="5"/>
    </row>
    <row r="161" spans="1:46" s="8" customFormat="1">
      <c r="B161" s="550" t="str">
        <f>TITLE!$C$10</f>
        <v>Полотна каркасно-щитові: ГЕОМЕТРІЯ</v>
      </c>
      <c r="C161" s="550"/>
      <c r="D161" s="564"/>
      <c r="E161" s="564"/>
      <c r="F161" s="117"/>
      <c r="G161" s="117"/>
      <c r="H161" s="117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544" t="str">
        <f>IF($C$1="ENG",CONCATENATE("up to: ",B88),CONCATENATE("вгору до: ",B88))</f>
        <v>вгору до: Полотна каркасно-щитові: КУПАВА</v>
      </c>
      <c r="T161" s="546"/>
      <c r="U161" s="546"/>
      <c r="V161" s="546"/>
      <c r="W161" s="546"/>
      <c r="AN161" s="279"/>
      <c r="AO161" s="279"/>
      <c r="AP161" s="279"/>
      <c r="AQ161" s="279"/>
      <c r="AR161" s="279"/>
      <c r="AS161" s="279"/>
      <c r="AT161" s="279"/>
    </row>
    <row r="162" spans="1:46" s="8" customFormat="1" ht="5.0999999999999996" customHeight="1">
      <c r="B162" s="116"/>
      <c r="C162" s="418"/>
      <c r="D162" s="9"/>
      <c r="E162" s="9"/>
      <c r="F162" s="9"/>
      <c r="G162" s="9"/>
      <c r="H162" s="10"/>
      <c r="T162" s="143"/>
      <c r="U162" s="143"/>
      <c r="V162" s="143"/>
      <c r="W162" s="143"/>
      <c r="AN162" s="279"/>
      <c r="AO162" s="279"/>
      <c r="AP162" s="279"/>
      <c r="AQ162" s="279"/>
      <c r="AR162" s="279"/>
      <c r="AS162" s="279"/>
      <c r="AT162" s="279"/>
    </row>
    <row r="163" spans="1:46" ht="12.75" customHeight="1">
      <c r="A163" s="8"/>
      <c r="B163" s="556" t="str">
        <f>IF($C$1="ENG","model","модель")</f>
        <v>модель</v>
      </c>
      <c r="C163" s="121" t="str">
        <f>IF($C$1="ENG","cover:","покриття:")</f>
        <v>покриття:</v>
      </c>
      <c r="D163" s="538" t="str">
        <f>IF($C$1="ENG","SIMPL / V-CELL","SIMPL / V-CELL")</f>
        <v>SIMPL / V-CELL</v>
      </c>
      <c r="E163" s="539"/>
      <c r="F163" s="538" t="str">
        <f>IF($C$1="ENG","UNI-MAT","UNI-MAT")</f>
        <v>UNI-MAT</v>
      </c>
      <c r="G163" s="539"/>
      <c r="H163" s="538" t="str">
        <f>IF($C$1="ENG","RESIST","RESIST")</f>
        <v>RESIST</v>
      </c>
      <c r="I163" s="539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</row>
    <row r="164" spans="1:46" ht="12.75" customHeight="1">
      <c r="A164" s="8"/>
      <c r="B164" s="557"/>
      <c r="C164" s="122" t="str">
        <f>IF($C$1="ENG","filling:","заповнення:")</f>
        <v>заповнення:</v>
      </c>
      <c r="D164" s="540" t="str">
        <f>IF($C$1="ENG","honeycomb core ","сотове заповнення")</f>
        <v>сотове заповнення</v>
      </c>
      <c r="E164" s="541"/>
      <c r="F164" s="540" t="str">
        <f>IF($C$1="ENG","honeycomb core ","сотове заповнення")</f>
        <v>сотове заповнення</v>
      </c>
      <c r="G164" s="541"/>
      <c r="H164" s="540" t="str">
        <f>IF($C$1="ENG","honeycomb core ","сотове заповнення")</f>
        <v>сотове заповнення</v>
      </c>
      <c r="I164" s="541"/>
      <c r="J164" s="47"/>
      <c r="K164" s="47"/>
      <c r="L164" s="48"/>
      <c r="M164" s="48"/>
      <c r="N164" s="48"/>
      <c r="O164" s="48"/>
      <c r="P164" s="48"/>
      <c r="Q164" s="48"/>
      <c r="R164" s="48"/>
      <c r="S164" s="48"/>
      <c r="T164" s="47"/>
      <c r="U164" s="47"/>
      <c r="V164" s="47"/>
      <c r="W164" s="47"/>
    </row>
    <row r="165" spans="1:46" ht="12.75" customHeight="1">
      <c r="A165" s="8"/>
      <c r="B165" s="558"/>
      <c r="C165" s="123" t="str">
        <f>IF($C$1="ENG","glazing:","скління:")</f>
        <v>скління:</v>
      </c>
      <c r="D165" s="542" t="str">
        <f>IF($C$1="ENG","Satin","Сатин")</f>
        <v>Сатин</v>
      </c>
      <c r="E165" s="543"/>
      <c r="F165" s="542" t="str">
        <f t="shared" ref="F165" si="19">IF($C$1="ENG","Satin","Сатин")</f>
        <v>Сатин</v>
      </c>
      <c r="G165" s="543"/>
      <c r="H165" s="542" t="str">
        <f t="shared" ref="H165" si="20">IF($C$1="ENG","Satin","Сатин")</f>
        <v>Сатин</v>
      </c>
      <c r="I165" s="543"/>
      <c r="J165" s="47"/>
      <c r="K165" s="130"/>
      <c r="L165" s="48"/>
      <c r="M165" s="48"/>
      <c r="N165" s="48"/>
      <c r="O165" s="48"/>
      <c r="P165" s="48"/>
      <c r="Q165" s="48"/>
      <c r="R165" s="48"/>
      <c r="S165" s="48"/>
      <c r="T165" s="47"/>
      <c r="U165" s="47"/>
      <c r="V165" s="47"/>
      <c r="W165" s="130"/>
      <c r="AC165" s="1" t="str">
        <f>D163</f>
        <v>SIMPL / V-CELL</v>
      </c>
      <c r="AD165" s="1" t="str">
        <f>F163</f>
        <v>UNI-MAT</v>
      </c>
      <c r="AE165" s="1" t="str">
        <f>H163</f>
        <v>RESIST</v>
      </c>
    </row>
    <row r="166" spans="1:46" ht="35.1" customHeight="1">
      <c r="A166" s="8"/>
      <c r="B166" s="13" t="s">
        <v>16</v>
      </c>
      <c r="C166" s="14"/>
      <c r="D166" s="100">
        <f>IF(AC166="","",(1-$W$2)*(AC166/1.2))</f>
        <v>3241.666666666667</v>
      </c>
      <c r="E166" s="64">
        <f>IF($W$5=0.2,D166*1.2,D166)/$W$4</f>
        <v>3890</v>
      </c>
      <c r="F166" s="100">
        <f>IF(AD166="","",(1-$W$2)*(AD166/1.2))</f>
        <v>3683.3333333333335</v>
      </c>
      <c r="G166" s="64">
        <f>IF($W$5=0.2,F166*1.2,F166)/$W$4</f>
        <v>4420</v>
      </c>
      <c r="H166" s="100">
        <f>IF(AE166="","",(1-$W$2)*(AE166/1.2))</f>
        <v>3916.666666666667</v>
      </c>
      <c r="I166" s="64">
        <f>IF($W$5=0.2,H166*1.2,H166)/$W$4</f>
        <v>4700</v>
      </c>
      <c r="J166" s="28"/>
      <c r="K166" s="59"/>
      <c r="L166" s="253"/>
      <c r="M166" s="142"/>
      <c r="N166" s="253"/>
      <c r="O166" s="277"/>
      <c r="P166" s="253"/>
      <c r="Q166" s="142"/>
      <c r="R166" s="253"/>
      <c r="S166" s="277"/>
      <c r="T166" s="28"/>
      <c r="U166" s="59"/>
      <c r="V166" s="28"/>
      <c r="W166" s="59"/>
      <c r="X166" s="59"/>
      <c r="Y166" s="59"/>
      <c r="Z166" s="59"/>
      <c r="AA166" s="59"/>
      <c r="AB166" s="59"/>
      <c r="AC166" s="331">
        <f>3550+340</f>
        <v>3890</v>
      </c>
      <c r="AD166" s="331">
        <f>4080+340</f>
        <v>4420</v>
      </c>
      <c r="AE166" s="331">
        <f>4360+340</f>
        <v>4700</v>
      </c>
      <c r="AF166" s="288">
        <v>3550</v>
      </c>
      <c r="AG166" s="288">
        <f>AF166/AC166-1</f>
        <v>-8.740359897172234E-2</v>
      </c>
      <c r="AH166" s="288">
        <v>4080</v>
      </c>
      <c r="AI166" s="288">
        <f>AH166/AD166-1</f>
        <v>-7.6923076923076872E-2</v>
      </c>
      <c r="AJ166" s="288">
        <v>4360</v>
      </c>
      <c r="AK166" s="288">
        <f>AJ166/AE166-1</f>
        <v>-7.2340425531914887E-2</v>
      </c>
      <c r="AL166" s="288"/>
      <c r="AM166" s="333"/>
      <c r="AN166" s="309"/>
      <c r="AO166" s="333"/>
    </row>
    <row r="167" spans="1:46" ht="35.1" customHeight="1">
      <c r="A167" s="8"/>
      <c r="B167" s="16" t="s">
        <v>19</v>
      </c>
      <c r="C167" s="17"/>
      <c r="D167" s="101">
        <f>IF(AC167="","",(1-$W$2)*(AC167/1.2))</f>
        <v>3491.666666666667</v>
      </c>
      <c r="E167" s="66">
        <f>IF($W$5=0.2,D167*1.2,D167)/$W$4</f>
        <v>4190</v>
      </c>
      <c r="F167" s="101">
        <f>IF(AD167="","",(1-$W$2)*(AD167/1.2))</f>
        <v>3983.3333333333335</v>
      </c>
      <c r="G167" s="66">
        <f>IF($W$5=0.2,F167*1.2,F167)/$W$4</f>
        <v>4780</v>
      </c>
      <c r="H167" s="101">
        <f>IF(AE167="","",(1-$W$2)*(AE167/1.2))</f>
        <v>4133.3333333333339</v>
      </c>
      <c r="I167" s="66">
        <f>IF($W$5=0.2,H167*1.2,H167)/$W$4</f>
        <v>4960.0000000000009</v>
      </c>
      <c r="J167" s="28"/>
      <c r="K167" s="59"/>
      <c r="L167" s="253"/>
      <c r="M167" s="142"/>
      <c r="N167" s="253"/>
      <c r="O167" s="277"/>
      <c r="P167" s="253"/>
      <c r="Q167" s="142"/>
      <c r="R167" s="253"/>
      <c r="S167" s="277"/>
      <c r="T167" s="28"/>
      <c r="U167" s="59"/>
      <c r="V167" s="28"/>
      <c r="W167" s="59"/>
      <c r="AC167" s="331">
        <f>3850+340</f>
        <v>4190</v>
      </c>
      <c r="AD167" s="331">
        <f>4440+340</f>
        <v>4780</v>
      </c>
      <c r="AE167" s="331">
        <f>4620+340</f>
        <v>4960</v>
      </c>
      <c r="AF167" s="288">
        <v>3850</v>
      </c>
      <c r="AG167" s="288">
        <f t="shared" ref="AG167:AG170" si="21">AF167/AC167-1</f>
        <v>-8.1145584725537012E-2</v>
      </c>
      <c r="AH167" s="288">
        <v>4440</v>
      </c>
      <c r="AI167" s="288">
        <f t="shared" ref="AI167:AI170" si="22">AH167/AD167-1</f>
        <v>-7.112970711297073E-2</v>
      </c>
      <c r="AJ167" s="288">
        <v>4620</v>
      </c>
      <c r="AK167" s="288">
        <f t="shared" ref="AK167:AK170" si="23">AJ167/AE167-1</f>
        <v>-6.8548387096774244E-2</v>
      </c>
      <c r="AL167" s="288"/>
      <c r="AM167" s="333"/>
      <c r="AN167" s="309"/>
      <c r="AO167" s="333"/>
    </row>
    <row r="168" spans="1:46" ht="35.1" customHeight="1">
      <c r="A168" s="8"/>
      <c r="B168" s="16" t="s">
        <v>20</v>
      </c>
      <c r="C168" s="17"/>
      <c r="D168" s="101">
        <f>IF(AC168="","",(1-$W$2)*(AC168/1.2))</f>
        <v>3491.666666666667</v>
      </c>
      <c r="E168" s="66">
        <f>IF($W$5=0.2,D168*1.2,D168)/$W$4</f>
        <v>4190</v>
      </c>
      <c r="F168" s="101">
        <f>IF(AD168="","",(1-$W$2)*(AD168/1.2))</f>
        <v>3983.3333333333335</v>
      </c>
      <c r="G168" s="66">
        <f>IF($W$5=0.2,F168*1.2,F168)/$W$4</f>
        <v>4780</v>
      </c>
      <c r="H168" s="101">
        <f>IF(AE168="","",(1-$W$2)*(AE168/1.2))</f>
        <v>4133.3333333333339</v>
      </c>
      <c r="I168" s="66">
        <f>IF($W$5=0.2,H168*1.2,H168)/$W$4</f>
        <v>4960.0000000000009</v>
      </c>
      <c r="J168" s="28"/>
      <c r="K168" s="59"/>
      <c r="L168" s="253"/>
      <c r="M168" s="142"/>
      <c r="N168" s="253"/>
      <c r="O168" s="277"/>
      <c r="P168" s="253"/>
      <c r="Q168" s="142"/>
      <c r="R168" s="253"/>
      <c r="S168" s="277"/>
      <c r="T168" s="28"/>
      <c r="U168" s="59"/>
      <c r="V168" s="28"/>
      <c r="W168" s="59"/>
      <c r="AC168" s="331">
        <f>3850+340</f>
        <v>4190</v>
      </c>
      <c r="AD168" s="331">
        <f>4440+340</f>
        <v>4780</v>
      </c>
      <c r="AE168" s="331">
        <f>4620+340</f>
        <v>4960</v>
      </c>
      <c r="AF168" s="288">
        <v>3850</v>
      </c>
      <c r="AG168" s="288">
        <f t="shared" si="21"/>
        <v>-8.1145584725537012E-2</v>
      </c>
      <c r="AH168" s="288">
        <v>4440</v>
      </c>
      <c r="AI168" s="288">
        <f t="shared" si="22"/>
        <v>-7.112970711297073E-2</v>
      </c>
      <c r="AJ168" s="288">
        <v>4620</v>
      </c>
      <c r="AK168" s="288">
        <f t="shared" si="23"/>
        <v>-6.8548387096774244E-2</v>
      </c>
      <c r="AL168" s="288"/>
      <c r="AM168" s="333"/>
      <c r="AN168" s="309"/>
      <c r="AO168" s="333"/>
    </row>
    <row r="169" spans="1:46" ht="35.1" customHeight="1">
      <c r="A169" s="8"/>
      <c r="B169" s="16" t="s">
        <v>21</v>
      </c>
      <c r="C169" s="17"/>
      <c r="D169" s="101">
        <f>IF(AC169="","",(1-$W$2)*(AC169/1.2))</f>
        <v>3491.666666666667</v>
      </c>
      <c r="E169" s="66">
        <f>IF($W$5=0.2,D169*1.2,D169)/$W$4</f>
        <v>4190</v>
      </c>
      <c r="F169" s="101">
        <f>IF(AD169="","",(1-$W$2)*(AD169/1.2))</f>
        <v>3983.3333333333335</v>
      </c>
      <c r="G169" s="66">
        <f>IF($W$5=0.2,F169*1.2,F169)/$W$4</f>
        <v>4780</v>
      </c>
      <c r="H169" s="101">
        <f>IF(AE169="","",(1-$W$2)*(AE169/1.2))</f>
        <v>4133.3333333333339</v>
      </c>
      <c r="I169" s="66">
        <f>IF($W$5=0.2,H169*1.2,H169)/$W$4</f>
        <v>4960.0000000000009</v>
      </c>
      <c r="J169" s="28"/>
      <c r="K169" s="59"/>
      <c r="L169" s="253"/>
      <c r="M169" s="142"/>
      <c r="N169" s="253"/>
      <c r="O169" s="277"/>
      <c r="P169" s="253"/>
      <c r="Q169" s="142"/>
      <c r="R169" s="253"/>
      <c r="S169" s="277"/>
      <c r="T169" s="28"/>
      <c r="U169" s="59"/>
      <c r="V169" s="28"/>
      <c r="W169" s="59"/>
      <c r="AC169" s="331">
        <f>3850+340</f>
        <v>4190</v>
      </c>
      <c r="AD169" s="331">
        <f>4440+340</f>
        <v>4780</v>
      </c>
      <c r="AE169" s="331">
        <f>4620+340</f>
        <v>4960</v>
      </c>
      <c r="AF169" s="288">
        <v>3850</v>
      </c>
      <c r="AG169" s="288">
        <f t="shared" si="21"/>
        <v>-8.1145584725537012E-2</v>
      </c>
      <c r="AH169" s="288">
        <v>4440</v>
      </c>
      <c r="AI169" s="288">
        <f t="shared" si="22"/>
        <v>-7.112970711297073E-2</v>
      </c>
      <c r="AJ169" s="288">
        <v>4620</v>
      </c>
      <c r="AK169" s="288">
        <f t="shared" si="23"/>
        <v>-6.8548387096774244E-2</v>
      </c>
      <c r="AL169" s="288"/>
      <c r="AM169" s="333"/>
      <c r="AN169" s="309"/>
      <c r="AO169" s="333"/>
    </row>
    <row r="170" spans="1:46" ht="35.1" customHeight="1">
      <c r="A170" s="8"/>
      <c r="B170" s="23" t="s">
        <v>22</v>
      </c>
      <c r="C170" s="24"/>
      <c r="D170" s="102">
        <f>IF(AC170="","",(1-$W$2)*(AC170/1.2))</f>
        <v>3491.666666666667</v>
      </c>
      <c r="E170" s="69">
        <f>IF($W$5=0.2,D170*1.2,D170)/$W$4</f>
        <v>4190</v>
      </c>
      <c r="F170" s="102">
        <f>IF(AD170="","",(1-$W$2)*(AD170/1.2))</f>
        <v>3983.3333333333335</v>
      </c>
      <c r="G170" s="69">
        <f>IF($W$5=0.2,F170*1.2,F170)/$W$4</f>
        <v>4780</v>
      </c>
      <c r="H170" s="102">
        <f>IF(AE170="","",(1-$W$2)*(AE170/1.2))</f>
        <v>4133.3333333333339</v>
      </c>
      <c r="I170" s="69">
        <f>IF($W$5=0.2,H170*1.2,H170)/$W$4</f>
        <v>4960.0000000000009</v>
      </c>
      <c r="J170" s="28"/>
      <c r="K170" s="59"/>
      <c r="L170" s="253"/>
      <c r="M170" s="142"/>
      <c r="N170" s="253"/>
      <c r="O170" s="277"/>
      <c r="P170" s="253"/>
      <c r="Q170" s="142"/>
      <c r="R170" s="253"/>
      <c r="S170" s="277"/>
      <c r="T170" s="28"/>
      <c r="U170" s="59"/>
      <c r="V170" s="28"/>
      <c r="W170" s="59"/>
      <c r="AC170" s="331">
        <f>3850+340</f>
        <v>4190</v>
      </c>
      <c r="AD170" s="331">
        <f>4440+340</f>
        <v>4780</v>
      </c>
      <c r="AE170" s="331">
        <f>4620+340</f>
        <v>4960</v>
      </c>
      <c r="AF170" s="288">
        <v>3850</v>
      </c>
      <c r="AG170" s="288">
        <f t="shared" si="21"/>
        <v>-8.1145584725537012E-2</v>
      </c>
      <c r="AH170" s="288">
        <v>4440</v>
      </c>
      <c r="AI170" s="288">
        <f t="shared" si="22"/>
        <v>-7.112970711297073E-2</v>
      </c>
      <c r="AJ170" s="288">
        <v>4620</v>
      </c>
      <c r="AK170" s="288">
        <f t="shared" si="23"/>
        <v>-6.8548387096774244E-2</v>
      </c>
      <c r="AL170" s="288"/>
      <c r="AM170" s="333"/>
      <c r="AN170" s="309"/>
      <c r="AO170" s="333"/>
    </row>
    <row r="171" spans="1:46">
      <c r="C171" s="244"/>
      <c r="D171" s="26"/>
      <c r="E171" s="26"/>
      <c r="F171" s="26"/>
      <c r="G171" s="26"/>
      <c r="H171" s="60"/>
      <c r="I171" s="48"/>
      <c r="J171" s="48"/>
      <c r="K171" s="142"/>
      <c r="L171" s="48"/>
      <c r="M171" s="48"/>
      <c r="N171" s="48"/>
      <c r="O171" s="142"/>
      <c r="P171" s="48"/>
      <c r="Q171" s="48"/>
      <c r="R171" s="48"/>
      <c r="S171" s="142"/>
      <c r="T171" s="48"/>
      <c r="U171" s="59"/>
      <c r="V171" s="48"/>
      <c r="W171" s="48"/>
    </row>
    <row r="172" spans="1:46">
      <c r="B172" s="211" t="str">
        <f>IF($C$1="ENG","For additonal charge:","Послуги за додаткову плату:")</f>
        <v>Послуги за додаткову плату:</v>
      </c>
      <c r="C172" s="419"/>
      <c r="D172" s="212"/>
      <c r="E172" s="213"/>
      <c r="F172" s="26"/>
      <c r="G172" s="26"/>
      <c r="H172" s="10"/>
      <c r="I172" s="8"/>
    </row>
    <row r="173" spans="1:46" ht="5.0999999999999996" customHeight="1">
      <c r="B173" s="27"/>
      <c r="C173" s="244"/>
      <c r="D173" s="26"/>
      <c r="E173" s="26"/>
      <c r="F173" s="26"/>
      <c r="G173" s="26"/>
      <c r="H173" s="10"/>
      <c r="I173" s="8"/>
    </row>
    <row r="174" spans="1:46">
      <c r="B174" s="561" t="str">
        <f>IF($C$1="ENG","Ventilation sleeves (1 row)","вентиляційні віддушини (1ряд)")</f>
        <v>вентиляційні віддушини (1ряд)</v>
      </c>
      <c r="C174" s="562"/>
      <c r="D174" s="415">
        <f t="shared" ref="D174:D187" si="24">IF(AC174="","",(1-$W$2)*(AC174/1.2))</f>
        <v>208.33333333333334</v>
      </c>
      <c r="E174" s="91">
        <f>IF($W$5=0.2,D174*1.2,D174)/$W$4</f>
        <v>250</v>
      </c>
      <c r="F174" s="26"/>
      <c r="G174" s="26"/>
      <c r="AC174" s="297">
        <v>250</v>
      </c>
      <c r="AD174" s="288">
        <v>250</v>
      </c>
      <c r="AE174" s="288">
        <f t="shared" ref="AE174:AE187" si="25">AD174/AC174-1</f>
        <v>0</v>
      </c>
      <c r="AF174" s="288"/>
      <c r="AG174" s="288"/>
      <c r="AH174" s="288"/>
      <c r="AI174" s="288"/>
      <c r="AJ174" s="288"/>
      <c r="AK174" s="288"/>
      <c r="AL174" s="288"/>
    </row>
    <row r="175" spans="1:46">
      <c r="B175" s="561" t="str">
        <f>IF($C$1="ENG","Ventilation cut","вентиляційний підріз")</f>
        <v>вентиляційний підріз</v>
      </c>
      <c r="C175" s="562"/>
      <c r="D175" s="404">
        <f t="shared" si="24"/>
        <v>141.66666666666669</v>
      </c>
      <c r="E175" s="92">
        <f>IF($W$5=0.2,D175*1.2,D175)/$W$4</f>
        <v>170.00000000000003</v>
      </c>
      <c r="F175" s="26"/>
      <c r="G175" s="26"/>
      <c r="I175" s="59"/>
      <c r="J175" s="28"/>
      <c r="AC175" s="297">
        <v>170</v>
      </c>
      <c r="AD175" s="288">
        <v>170</v>
      </c>
      <c r="AE175" s="288">
        <f t="shared" si="25"/>
        <v>0</v>
      </c>
      <c r="AF175" s="288"/>
      <c r="AG175" s="288"/>
      <c r="AH175" s="288"/>
      <c r="AI175" s="288"/>
      <c r="AJ175" s="288"/>
      <c r="AK175" s="288"/>
      <c r="AL175" s="288"/>
    </row>
    <row r="176" spans="1:46">
      <c r="B176" s="561" t="str">
        <f>IF($C$1="ENG","third door hindge","третя завіса")</f>
        <v>третя завіса</v>
      </c>
      <c r="C176" s="562"/>
      <c r="D176" s="404">
        <f t="shared" si="24"/>
        <v>66.666666666666671</v>
      </c>
      <c r="E176" s="92">
        <f>IF($W$5=0.2,D176*1.2,D176)/$W$4</f>
        <v>80</v>
      </c>
      <c r="F176" s="26"/>
      <c r="G176" s="26"/>
      <c r="AC176" s="297">
        <v>80</v>
      </c>
      <c r="AD176" s="288">
        <v>80</v>
      </c>
      <c r="AE176" s="288">
        <f t="shared" si="25"/>
        <v>0</v>
      </c>
      <c r="AF176" s="288"/>
      <c r="AG176" s="288"/>
      <c r="AH176" s="288"/>
      <c r="AI176" s="288"/>
      <c r="AJ176" s="288"/>
      <c r="AK176" s="288"/>
      <c r="AL176" s="288"/>
    </row>
    <row r="177" spans="2:38">
      <c r="B177" s="554" t="str">
        <f>IF($C$1="ENG","glazing Graphite / Bronze","скло Графіт / Бронза")</f>
        <v>скло Графіт / Бронза</v>
      </c>
      <c r="C177" s="555"/>
      <c r="D177" s="404">
        <f>IF(AC177="","",(1-$W$2)*(AC177/1.2))</f>
        <v>458.33333333333337</v>
      </c>
      <c r="E177" s="92">
        <f>IF($W$5=0.2,D177*1.2,D177)/$W$4</f>
        <v>550</v>
      </c>
      <c r="F177" s="140"/>
      <c r="G177" s="140"/>
      <c r="AC177" s="297">
        <v>550</v>
      </c>
      <c r="AD177" s="288">
        <v>550</v>
      </c>
      <c r="AE177" s="288">
        <f t="shared" si="25"/>
        <v>0</v>
      </c>
      <c r="AF177" s="288"/>
      <c r="AG177" s="288"/>
      <c r="AH177" s="288"/>
      <c r="AI177" s="288"/>
      <c r="AJ177" s="288"/>
      <c r="AK177" s="288"/>
      <c r="AL177" s="288"/>
    </row>
    <row r="178" spans="2:38">
      <c r="B178" s="554" t="str">
        <f>IF($C$1="ENG","door lock Soft","замок Soft")</f>
        <v>замок Soft</v>
      </c>
      <c r="C178" s="555"/>
      <c r="D178" s="405">
        <f t="shared" si="24"/>
        <v>458.33333333333337</v>
      </c>
      <c r="E178" s="92">
        <f t="shared" ref="E178:E185" si="26">IF($W$5=0.2,D178*1.2,D178)/$W$4</f>
        <v>550</v>
      </c>
      <c r="F178" s="26"/>
      <c r="G178" s="26"/>
      <c r="H178" s="5"/>
      <c r="AC178" s="297">
        <v>550</v>
      </c>
      <c r="AD178" s="288">
        <v>550</v>
      </c>
      <c r="AE178" s="288">
        <f t="shared" si="25"/>
        <v>0</v>
      </c>
      <c r="AF178" s="288"/>
      <c r="AG178" s="288"/>
      <c r="AH178" s="288"/>
      <c r="AI178" s="288"/>
      <c r="AJ178" s="288"/>
      <c r="AK178" s="288"/>
      <c r="AL178" s="288"/>
    </row>
    <row r="179" spans="2:38">
      <c r="B179" s="554" t="str">
        <f>IF($C$1="ENG","door lock Soft black","замок Soft чорн.")</f>
        <v>замок Soft чорн.</v>
      </c>
      <c r="C179" s="555"/>
      <c r="D179" s="405">
        <f t="shared" si="24"/>
        <v>566.66666666666674</v>
      </c>
      <c r="E179" s="92">
        <f t="shared" si="26"/>
        <v>680.00000000000011</v>
      </c>
      <c r="F179" s="26"/>
      <c r="G179" s="26"/>
      <c r="H179" s="5"/>
      <c r="AC179" s="297">
        <v>680</v>
      </c>
      <c r="AD179" s="288"/>
      <c r="AE179" s="288"/>
      <c r="AF179" s="288"/>
      <c r="AG179" s="288"/>
      <c r="AH179" s="288"/>
      <c r="AI179" s="288"/>
      <c r="AJ179" s="288"/>
      <c r="AK179" s="288"/>
      <c r="AL179" s="288"/>
    </row>
    <row r="180" spans="2:38">
      <c r="B180" s="554" t="str">
        <f>IF($C$1="ENG","door lock Magnet","замок Magnet")</f>
        <v>замок Magnet</v>
      </c>
      <c r="C180" s="555"/>
      <c r="D180" s="405">
        <f>IF(AC180="","",(1-$W$2)*(AC180/1.2))</f>
        <v>666.66666666666674</v>
      </c>
      <c r="E180" s="92">
        <f t="shared" si="26"/>
        <v>800.00000000000011</v>
      </c>
      <c r="F180" s="26"/>
      <c r="G180" s="26"/>
      <c r="H180" s="5"/>
      <c r="AC180" s="297">
        <v>800</v>
      </c>
      <c r="AD180" s="288">
        <v>800</v>
      </c>
      <c r="AE180" s="288">
        <f t="shared" si="25"/>
        <v>0</v>
      </c>
      <c r="AF180" s="288"/>
      <c r="AG180" s="288"/>
      <c r="AH180" s="288"/>
      <c r="AI180" s="288"/>
      <c r="AJ180" s="288"/>
      <c r="AK180" s="288"/>
      <c r="AL180" s="288"/>
    </row>
    <row r="181" spans="2:38">
      <c r="B181" s="409"/>
      <c r="C181" s="409" t="str">
        <f>IF($C$1="ENG","door lock Magnet black","замок Magnet чорн.")</f>
        <v>замок Magnet чорн.</v>
      </c>
      <c r="D181" s="405">
        <f>IF(AC181="","",(1-$W$2)*(AC181/1.2))</f>
        <v>833.33333333333337</v>
      </c>
      <c r="E181" s="92">
        <f t="shared" si="26"/>
        <v>1000</v>
      </c>
      <c r="F181" s="26"/>
      <c r="G181" s="26"/>
      <c r="H181" s="5"/>
      <c r="AC181" s="297">
        <v>1000</v>
      </c>
      <c r="AD181" s="288"/>
      <c r="AE181" s="288"/>
      <c r="AF181" s="288"/>
      <c r="AG181" s="288"/>
      <c r="AH181" s="288"/>
      <c r="AI181" s="288"/>
      <c r="AJ181" s="288"/>
      <c r="AK181" s="288"/>
      <c r="AL181" s="288"/>
    </row>
    <row r="182" spans="2:38">
      <c r="B182" s="554" t="str">
        <f>IF($C$1="ENG","door handle-lock (for sliding doors)","ручка-замок (для дверей купе)")</f>
        <v>ручка-замок (для дверей купе)</v>
      </c>
      <c r="C182" s="555"/>
      <c r="D182" s="404">
        <f t="shared" si="24"/>
        <v>466.66666666666669</v>
      </c>
      <c r="E182" s="92">
        <f t="shared" si="26"/>
        <v>560</v>
      </c>
      <c r="F182" s="26"/>
      <c r="G182" s="26"/>
      <c r="I182" s="30"/>
      <c r="K182" s="30"/>
      <c r="AC182" s="297">
        <v>560</v>
      </c>
      <c r="AD182" s="288">
        <v>560</v>
      </c>
      <c r="AE182" s="288">
        <f t="shared" si="25"/>
        <v>0</v>
      </c>
      <c r="AF182" s="288"/>
      <c r="AG182" s="288"/>
      <c r="AH182" s="288"/>
      <c r="AI182" s="288"/>
      <c r="AJ182" s="288"/>
      <c r="AK182" s="288"/>
      <c r="AL182" s="288"/>
    </row>
    <row r="183" spans="2:38">
      <c r="B183" s="554" t="str">
        <f>IF($C$1="ENG","cylinder incert","циліндр несиметричний")</f>
        <v>циліндр несиметричний</v>
      </c>
      <c r="C183" s="555"/>
      <c r="D183" s="404">
        <f t="shared" si="24"/>
        <v>325</v>
      </c>
      <c r="E183" s="92">
        <f t="shared" si="26"/>
        <v>390</v>
      </c>
      <c r="F183" s="26"/>
      <c r="G183" s="26"/>
      <c r="AC183" s="297">
        <v>390</v>
      </c>
      <c r="AD183" s="288">
        <v>390</v>
      </c>
      <c r="AE183" s="288">
        <f t="shared" si="25"/>
        <v>0</v>
      </c>
      <c r="AF183" s="288"/>
      <c r="AG183" s="288"/>
      <c r="AH183" s="288"/>
      <c r="AI183" s="288"/>
      <c r="AJ183" s="288"/>
      <c r="AK183" s="288"/>
      <c r="AL183" s="288"/>
    </row>
    <row r="184" spans="2:38">
      <c r="B184" s="554" t="str">
        <f>IF($C$1="ENG","door hindge Prestige (1 unit)","завіса Prestige (1 шт)")</f>
        <v>завіса Prestige (1 шт)</v>
      </c>
      <c r="C184" s="555"/>
      <c r="D184" s="416">
        <f t="shared" si="24"/>
        <v>216.66666666666669</v>
      </c>
      <c r="E184" s="92">
        <f t="shared" si="26"/>
        <v>260</v>
      </c>
      <c r="F184" s="26"/>
      <c r="G184" s="26"/>
      <c r="AC184" s="297">
        <v>260</v>
      </c>
      <c r="AD184" s="288">
        <v>260</v>
      </c>
      <c r="AE184" s="288">
        <f t="shared" si="25"/>
        <v>0</v>
      </c>
      <c r="AF184" s="288"/>
      <c r="AG184" s="288"/>
      <c r="AH184" s="288"/>
      <c r="AI184" s="288"/>
      <c r="AJ184" s="288"/>
      <c r="AK184" s="288"/>
      <c r="AL184" s="288"/>
    </row>
    <row r="185" spans="2:38">
      <c r="B185" s="554" t="str">
        <f>IF($C$1="ENG","door hinge caps (1 set)","накладка на завіси (1 к-т)")</f>
        <v>накладка на завіси (1 к-т)</v>
      </c>
      <c r="C185" s="555"/>
      <c r="D185" s="416">
        <f t="shared" si="24"/>
        <v>66.666666666666671</v>
      </c>
      <c r="E185" s="92">
        <f t="shared" si="26"/>
        <v>80</v>
      </c>
      <c r="F185" s="26"/>
      <c r="G185" s="26"/>
      <c r="AC185" s="297">
        <v>80</v>
      </c>
      <c r="AD185" s="288">
        <v>80</v>
      </c>
      <c r="AE185" s="288">
        <f t="shared" si="25"/>
        <v>0</v>
      </c>
      <c r="AF185" s="288"/>
      <c r="AG185" s="288"/>
      <c r="AH185" s="288"/>
      <c r="AI185" s="288"/>
      <c r="AJ185" s="288"/>
      <c r="AK185" s="288"/>
      <c r="AL185" s="288"/>
    </row>
    <row r="186" spans="2:38">
      <c r="B186" s="554" t="str">
        <f>IF($C$1="ENG","door handle","дверна ручка")</f>
        <v>дверна ручка</v>
      </c>
      <c r="C186" s="555"/>
      <c r="D186" s="404">
        <f t="shared" si="24"/>
        <v>0</v>
      </c>
      <c r="E186" s="295" t="str">
        <f>IF($C$1="ENG","see Handles Price","див. Таблицю Ручки")</f>
        <v>див. Таблицю Ручки</v>
      </c>
      <c r="F186" s="26"/>
      <c r="G186" s="26"/>
      <c r="AC186" s="297">
        <v>0</v>
      </c>
      <c r="AD186" s="288">
        <f t="shared" ref="AD186" si="27">AC186/100*13+AC186</f>
        <v>0</v>
      </c>
      <c r="AE186" s="288" t="e">
        <f t="shared" si="25"/>
        <v>#DIV/0!</v>
      </c>
      <c r="AF186" s="288"/>
      <c r="AG186" s="288"/>
      <c r="AH186" s="288"/>
      <c r="AI186" s="288"/>
      <c r="AJ186" s="288"/>
      <c r="AK186" s="288"/>
      <c r="AL186" s="288"/>
    </row>
    <row r="187" spans="2:38">
      <c r="B187" s="554" t="str">
        <f>IF($C$1="ENG","perforated chipboard","ДСП трубчасте")</f>
        <v>ДСП трубчасте</v>
      </c>
      <c r="C187" s="555"/>
      <c r="D187" s="417">
        <f t="shared" si="24"/>
        <v>1083.3333333333335</v>
      </c>
      <c r="E187" s="93">
        <f>IF($W$5=0.2,D187*1.2,D187)/$W$4</f>
        <v>1300.0000000000002</v>
      </c>
      <c r="F187" s="26"/>
      <c r="G187" s="26"/>
      <c r="AC187" s="297">
        <v>1300</v>
      </c>
      <c r="AD187" s="288">
        <v>1300</v>
      </c>
      <c r="AE187" s="288">
        <f t="shared" si="25"/>
        <v>0</v>
      </c>
      <c r="AF187" s="288"/>
      <c r="AG187" s="288"/>
      <c r="AH187" s="288"/>
      <c r="AI187" s="288"/>
      <c r="AJ187" s="288"/>
      <c r="AK187" s="288"/>
      <c r="AL187" s="288"/>
    </row>
    <row r="188" spans="2:38" ht="14.25" customHeight="1">
      <c r="C188" s="244"/>
      <c r="D188" s="26"/>
      <c r="E188" s="26"/>
      <c r="F188" s="26"/>
      <c r="G188" s="26"/>
      <c r="H188" s="5"/>
      <c r="S188" s="388"/>
      <c r="T188" s="536" t="str">
        <f>IF($C$1="ENG",CONCATENATE("down to: ",B287),CONCATENATE("вниз до: ",B287))</f>
        <v>вниз до: Полотна каркасно-щитові: ІДЕЯ</v>
      </c>
      <c r="U188" s="536"/>
      <c r="V188" s="536"/>
      <c r="W188" s="536"/>
    </row>
    <row r="189" spans="2:38" ht="14.25" customHeight="1">
      <c r="C189" s="244"/>
      <c r="D189" s="26"/>
      <c r="E189" s="26"/>
      <c r="F189" s="26"/>
      <c r="G189" s="26"/>
      <c r="H189" s="5"/>
      <c r="L189" s="103"/>
      <c r="N189" s="103"/>
      <c r="O189" s="20"/>
      <c r="P189" s="103"/>
      <c r="R189" s="103"/>
      <c r="S189" s="20"/>
    </row>
    <row r="190" spans="2:38" ht="14.25" customHeight="1">
      <c r="C190" s="244"/>
      <c r="D190" s="26"/>
      <c r="E190" s="26"/>
      <c r="F190" s="26"/>
      <c r="G190" s="26"/>
      <c r="H190" s="5"/>
      <c r="L190" s="103"/>
      <c r="N190" s="103"/>
      <c r="O190" s="20"/>
      <c r="P190" s="103"/>
      <c r="R190" s="103"/>
      <c r="S190" s="20"/>
      <c r="T190" s="103"/>
      <c r="V190" s="103"/>
      <c r="W190" s="20"/>
    </row>
    <row r="191" spans="2:38" ht="14.25" customHeight="1">
      <c r="C191" s="244"/>
      <c r="D191" s="26"/>
      <c r="E191" s="26"/>
      <c r="F191" s="26"/>
      <c r="G191" s="26"/>
      <c r="H191" s="5"/>
      <c r="L191" s="103"/>
      <c r="N191" s="103"/>
      <c r="O191" s="20"/>
      <c r="P191" s="103"/>
      <c r="R191" s="103"/>
      <c r="S191" s="20"/>
      <c r="T191" s="103"/>
      <c r="V191" s="103"/>
      <c r="W191" s="20"/>
    </row>
    <row r="192" spans="2:38" ht="14.25" customHeight="1">
      <c r="C192" s="244"/>
      <c r="D192" s="26"/>
      <c r="E192" s="26"/>
      <c r="F192" s="26"/>
      <c r="G192" s="26"/>
      <c r="H192" s="5"/>
      <c r="L192" s="103"/>
      <c r="N192" s="103"/>
      <c r="O192" s="20"/>
      <c r="P192" s="103"/>
      <c r="R192" s="103"/>
      <c r="S192" s="20"/>
      <c r="T192" s="103"/>
      <c r="V192" s="103"/>
      <c r="W192" s="20"/>
    </row>
    <row r="193" spans="3:23" ht="14.25" customHeight="1">
      <c r="C193" s="244"/>
      <c r="D193" s="26"/>
      <c r="E193" s="26"/>
      <c r="F193" s="26"/>
      <c r="G193" s="26"/>
      <c r="H193" s="5"/>
      <c r="L193" s="103"/>
      <c r="N193" s="103"/>
      <c r="O193" s="20"/>
      <c r="P193" s="103"/>
      <c r="R193" s="103"/>
      <c r="S193" s="20"/>
      <c r="T193" s="103"/>
      <c r="V193" s="103"/>
      <c r="W193" s="20"/>
    </row>
    <row r="194" spans="3:23" ht="14.25" customHeight="1">
      <c r="C194" s="244"/>
      <c r="D194" s="26"/>
      <c r="E194" s="26"/>
      <c r="F194" s="26"/>
      <c r="G194" s="26"/>
      <c r="H194" s="5"/>
      <c r="L194" s="103"/>
      <c r="N194" s="103"/>
      <c r="O194" s="20"/>
      <c r="P194" s="103"/>
      <c r="R194" s="103"/>
      <c r="S194" s="20"/>
      <c r="T194" s="103"/>
      <c r="V194" s="103"/>
      <c r="W194" s="20"/>
    </row>
    <row r="195" spans="3:23" ht="14.25" customHeight="1">
      <c r="C195" s="244"/>
      <c r="D195" s="26"/>
      <c r="E195" s="26"/>
      <c r="F195" s="26"/>
      <c r="G195" s="26"/>
      <c r="H195" s="5"/>
      <c r="L195" s="103"/>
      <c r="N195" s="103"/>
      <c r="O195" s="20"/>
      <c r="P195" s="103"/>
      <c r="R195" s="103"/>
      <c r="S195" s="20"/>
      <c r="T195" s="103"/>
      <c r="V195" s="103"/>
      <c r="W195" s="20"/>
    </row>
    <row r="196" spans="3:23" ht="14.25" customHeight="1">
      <c r="C196" s="244"/>
      <c r="D196" s="26"/>
      <c r="E196" s="26"/>
      <c r="F196" s="26"/>
      <c r="G196" s="26"/>
      <c r="H196" s="5"/>
      <c r="L196" s="103"/>
      <c r="N196" s="103"/>
      <c r="O196" s="20"/>
      <c r="P196" s="103"/>
      <c r="R196" s="103"/>
      <c r="S196" s="20"/>
      <c r="T196" s="103"/>
      <c r="V196" s="103"/>
      <c r="W196" s="20"/>
    </row>
    <row r="197" spans="3:23" ht="14.25" customHeight="1">
      <c r="C197" s="244"/>
      <c r="D197" s="26"/>
      <c r="E197" s="26"/>
      <c r="F197" s="26"/>
      <c r="G197" s="26"/>
      <c r="H197" s="5"/>
    </row>
    <row r="198" spans="3:23" ht="14.25" customHeight="1">
      <c r="C198" s="244"/>
      <c r="D198" s="26"/>
      <c r="E198" s="26"/>
      <c r="F198" s="26"/>
      <c r="G198" s="26"/>
      <c r="H198" s="5"/>
    </row>
    <row r="199" spans="3:23" ht="14.25" customHeight="1">
      <c r="C199" s="244"/>
      <c r="D199" s="26"/>
      <c r="E199" s="26"/>
      <c r="F199" s="26"/>
      <c r="G199" s="26"/>
      <c r="H199" s="5"/>
    </row>
    <row r="200" spans="3:23" ht="14.25" customHeight="1">
      <c r="C200" s="244"/>
      <c r="D200" s="26"/>
      <c r="E200" s="26"/>
      <c r="F200" s="26"/>
      <c r="G200" s="26"/>
      <c r="H200" s="5"/>
    </row>
    <row r="201" spans="3:23" ht="14.25" customHeight="1">
      <c r="C201" s="244"/>
      <c r="D201" s="26"/>
      <c r="E201" s="26"/>
      <c r="F201" s="26"/>
      <c r="G201" s="26"/>
      <c r="H201" s="5"/>
    </row>
    <row r="202" spans="3:23" ht="14.25" customHeight="1">
      <c r="C202" s="244"/>
      <c r="D202" s="26"/>
      <c r="E202" s="26"/>
      <c r="F202" s="26"/>
      <c r="G202" s="26"/>
      <c r="H202" s="5"/>
    </row>
    <row r="203" spans="3:23" ht="14.25" customHeight="1">
      <c r="C203" s="244"/>
      <c r="D203" s="26"/>
      <c r="E203" s="26"/>
      <c r="F203" s="26"/>
      <c r="G203" s="26"/>
      <c r="H203" s="5"/>
    </row>
    <row r="204" spans="3:23" ht="14.25" customHeight="1">
      <c r="C204" s="244"/>
      <c r="D204" s="26"/>
      <c r="E204" s="26"/>
      <c r="F204" s="26"/>
      <c r="G204" s="26"/>
      <c r="H204" s="5"/>
    </row>
    <row r="205" spans="3:23" ht="14.25" customHeight="1">
      <c r="C205" s="244"/>
      <c r="D205" s="26"/>
      <c r="E205" s="26"/>
      <c r="F205" s="26"/>
      <c r="G205" s="26"/>
      <c r="H205" s="5"/>
    </row>
    <row r="206" spans="3:23" ht="14.25" customHeight="1">
      <c r="C206" s="244"/>
      <c r="D206" s="26"/>
      <c r="E206" s="26"/>
      <c r="F206" s="26"/>
      <c r="G206" s="26"/>
      <c r="H206" s="5"/>
    </row>
    <row r="207" spans="3:23" ht="14.25" customHeight="1">
      <c r="C207" s="244"/>
      <c r="D207" s="26"/>
      <c r="E207" s="26"/>
      <c r="F207" s="26"/>
      <c r="G207" s="26"/>
      <c r="H207" s="5"/>
    </row>
    <row r="208" spans="3:23" ht="14.25" customHeight="1">
      <c r="C208" s="244"/>
      <c r="D208" s="26"/>
      <c r="E208" s="26"/>
      <c r="F208" s="26"/>
      <c r="G208" s="26"/>
      <c r="H208" s="5"/>
    </row>
    <row r="209" spans="3:8" ht="14.25" customHeight="1">
      <c r="C209" s="244"/>
      <c r="D209" s="26"/>
      <c r="E209" s="26"/>
      <c r="F209" s="26"/>
      <c r="G209" s="26"/>
      <c r="H209" s="5"/>
    </row>
    <row r="210" spans="3:8" ht="14.25" customHeight="1">
      <c r="C210" s="244"/>
      <c r="D210" s="26"/>
      <c r="E210" s="26"/>
      <c r="F210" s="26"/>
      <c r="G210" s="26"/>
      <c r="H210" s="5"/>
    </row>
    <row r="211" spans="3:8" ht="14.25" customHeight="1">
      <c r="C211" s="244"/>
      <c r="D211" s="26"/>
      <c r="E211" s="26"/>
      <c r="F211" s="26"/>
      <c r="G211" s="26"/>
      <c r="H211" s="5"/>
    </row>
    <row r="212" spans="3:8" ht="14.25" customHeight="1">
      <c r="C212" s="244"/>
      <c r="D212" s="26"/>
      <c r="E212" s="26"/>
      <c r="F212" s="26"/>
      <c r="G212" s="26"/>
      <c r="H212" s="5"/>
    </row>
    <row r="213" spans="3:8" ht="14.25" customHeight="1">
      <c r="C213" s="244"/>
      <c r="D213" s="26"/>
      <c r="E213" s="26"/>
      <c r="F213" s="26"/>
      <c r="G213" s="26"/>
      <c r="H213" s="5"/>
    </row>
    <row r="214" spans="3:8" ht="14.25" customHeight="1">
      <c r="C214" s="244"/>
      <c r="D214" s="26"/>
      <c r="E214" s="26"/>
      <c r="F214" s="26"/>
      <c r="G214" s="26"/>
      <c r="H214" s="5"/>
    </row>
    <row r="215" spans="3:8" ht="14.25" customHeight="1">
      <c r="C215" s="244"/>
      <c r="D215" s="26"/>
      <c r="E215" s="26"/>
      <c r="F215" s="26"/>
      <c r="G215" s="26"/>
      <c r="H215" s="5"/>
    </row>
    <row r="216" spans="3:8" ht="14.25" customHeight="1">
      <c r="C216" s="244"/>
      <c r="D216" s="26"/>
      <c r="E216" s="26"/>
      <c r="F216" s="26"/>
      <c r="G216" s="26"/>
      <c r="H216" s="5"/>
    </row>
    <row r="217" spans="3:8" ht="14.25" customHeight="1">
      <c r="C217" s="244"/>
      <c r="D217" s="26"/>
      <c r="E217" s="26"/>
      <c r="F217" s="26"/>
      <c r="G217" s="26"/>
      <c r="H217" s="5"/>
    </row>
    <row r="218" spans="3:8" ht="14.25" customHeight="1">
      <c r="C218" s="244"/>
      <c r="D218" s="26"/>
      <c r="E218" s="26"/>
      <c r="F218" s="26"/>
      <c r="G218" s="26"/>
      <c r="H218" s="5"/>
    </row>
    <row r="219" spans="3:8" ht="14.25" customHeight="1">
      <c r="C219" s="244"/>
      <c r="D219" s="26"/>
      <c r="E219" s="26"/>
      <c r="F219" s="26"/>
      <c r="G219" s="26"/>
      <c r="H219" s="5"/>
    </row>
    <row r="220" spans="3:8" ht="14.25" customHeight="1">
      <c r="C220" s="244"/>
      <c r="D220" s="26"/>
      <c r="E220" s="26"/>
      <c r="F220" s="26"/>
      <c r="G220" s="26"/>
      <c r="H220" s="5"/>
    </row>
    <row r="221" spans="3:8" ht="14.25" customHeight="1">
      <c r="C221" s="244"/>
      <c r="D221" s="26"/>
      <c r="E221" s="26"/>
      <c r="F221" s="26"/>
      <c r="G221" s="26"/>
      <c r="H221" s="5"/>
    </row>
    <row r="222" spans="3:8" ht="14.25" customHeight="1">
      <c r="C222" s="244"/>
      <c r="D222" s="26"/>
      <c r="E222" s="26"/>
      <c r="F222" s="26"/>
      <c r="G222" s="26"/>
      <c r="H222" s="5"/>
    </row>
    <row r="223" spans="3:8" ht="14.25" customHeight="1">
      <c r="C223" s="244"/>
      <c r="D223" s="26"/>
      <c r="E223" s="26"/>
      <c r="F223" s="26"/>
      <c r="G223" s="26"/>
      <c r="H223" s="5"/>
    </row>
    <row r="224" spans="3:8" ht="14.25" customHeight="1">
      <c r="C224" s="244"/>
      <c r="D224" s="26"/>
      <c r="E224" s="26"/>
      <c r="F224" s="26"/>
      <c r="G224" s="26"/>
      <c r="H224" s="5"/>
    </row>
    <row r="225" spans="2:19" ht="14.25" customHeight="1">
      <c r="C225" s="244"/>
      <c r="D225" s="26"/>
      <c r="E225" s="26"/>
      <c r="F225" s="26"/>
      <c r="G225" s="26"/>
      <c r="H225" s="5"/>
    </row>
    <row r="226" spans="2:19" ht="14.25" customHeight="1">
      <c r="C226" s="244"/>
      <c r="D226" s="26"/>
      <c r="E226" s="26"/>
      <c r="F226" s="26"/>
      <c r="G226" s="26"/>
      <c r="H226" s="5"/>
    </row>
    <row r="227" spans="2:19" ht="14.25" customHeight="1">
      <c r="C227" s="244"/>
      <c r="D227" s="26"/>
      <c r="E227" s="26"/>
      <c r="F227" s="26"/>
      <c r="G227" s="26"/>
      <c r="H227" s="5"/>
    </row>
    <row r="228" spans="2:19" ht="14.25" customHeight="1">
      <c r="C228" s="244"/>
      <c r="D228" s="26"/>
      <c r="E228" s="26"/>
      <c r="F228" s="26"/>
      <c r="G228" s="26"/>
      <c r="H228" s="5"/>
    </row>
    <row r="229" spans="2:19" ht="14.25" customHeight="1">
      <c r="C229" s="244"/>
      <c r="D229" s="26"/>
      <c r="E229" s="26"/>
      <c r="F229" s="26"/>
      <c r="G229" s="26"/>
      <c r="H229" s="5"/>
    </row>
    <row r="230" spans="2:19" ht="14.25" customHeight="1">
      <c r="C230" s="244"/>
      <c r="D230" s="26"/>
      <c r="E230" s="26"/>
      <c r="F230" s="26"/>
      <c r="G230" s="26"/>
      <c r="H230" s="5"/>
    </row>
    <row r="231" spans="2:19" ht="14.25" customHeight="1">
      <c r="C231" s="244"/>
      <c r="D231" s="26"/>
      <c r="E231" s="26"/>
      <c r="F231" s="26"/>
      <c r="G231" s="26"/>
      <c r="H231" s="5"/>
    </row>
    <row r="232" spans="2:19" ht="14.25" customHeight="1">
      <c r="C232" s="244"/>
      <c r="D232" s="26"/>
      <c r="E232" s="26"/>
      <c r="F232" s="26"/>
      <c r="G232" s="26"/>
      <c r="H232" s="5"/>
    </row>
    <row r="233" spans="2:19" ht="14.25" customHeight="1">
      <c r="C233" s="244"/>
      <c r="D233" s="26"/>
      <c r="E233" s="26"/>
      <c r="F233" s="26"/>
      <c r="G233" s="26"/>
      <c r="H233" s="5"/>
    </row>
    <row r="234" spans="2:19" ht="14.25" customHeight="1">
      <c r="C234" s="244"/>
      <c r="D234" s="26"/>
      <c r="E234" s="26"/>
      <c r="F234" s="26"/>
      <c r="G234" s="26"/>
      <c r="H234" s="5"/>
    </row>
    <row r="235" spans="2:19" ht="14.25" customHeight="1">
      <c r="C235" s="244"/>
      <c r="D235" s="26"/>
      <c r="E235" s="26"/>
      <c r="F235" s="26"/>
      <c r="G235" s="26"/>
      <c r="H235" s="5"/>
    </row>
    <row r="236" spans="2:19" ht="14.25" customHeight="1">
      <c r="C236" s="244"/>
      <c r="D236" s="26"/>
      <c r="E236" s="26"/>
      <c r="F236" s="26"/>
      <c r="G236" s="26"/>
      <c r="H236" s="5"/>
    </row>
    <row r="237" spans="2:19" ht="14.25" customHeight="1">
      <c r="B237" s="32"/>
      <c r="C237" s="420"/>
      <c r="D237" s="36"/>
      <c r="E237" s="36"/>
      <c r="F237" s="36"/>
      <c r="G237" s="36"/>
      <c r="H237" s="37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</row>
    <row r="238" spans="2:19" ht="14.25" customHeight="1">
      <c r="C238" s="244"/>
      <c r="D238" s="26"/>
      <c r="E238" s="26"/>
      <c r="F238" s="26"/>
      <c r="G238" s="26"/>
      <c r="H238" s="5"/>
    </row>
    <row r="239" spans="2:19" ht="14.25" customHeight="1">
      <c r="C239" s="244"/>
      <c r="D239" s="26"/>
      <c r="E239" s="26"/>
      <c r="F239" s="26"/>
      <c r="G239" s="26"/>
      <c r="H239" s="5"/>
    </row>
    <row r="240" spans="2:19" ht="14.25" customHeight="1">
      <c r="C240" s="244"/>
      <c r="D240" s="26"/>
      <c r="E240" s="26"/>
      <c r="F240" s="26"/>
      <c r="G240" s="26"/>
      <c r="H240" s="5"/>
    </row>
    <row r="241" spans="3:8" ht="14.25" customHeight="1">
      <c r="C241" s="244"/>
      <c r="D241" s="26"/>
      <c r="E241" s="26"/>
      <c r="F241" s="26"/>
      <c r="G241" s="26"/>
      <c r="H241" s="5"/>
    </row>
    <row r="242" spans="3:8" ht="14.25" customHeight="1">
      <c r="C242" s="244"/>
      <c r="D242" s="26"/>
      <c r="E242" s="26"/>
      <c r="F242" s="26"/>
      <c r="G242" s="26"/>
      <c r="H242" s="5"/>
    </row>
    <row r="243" spans="3:8" ht="14.25" customHeight="1">
      <c r="C243" s="244"/>
      <c r="D243" s="26"/>
      <c r="E243" s="26"/>
      <c r="F243" s="26"/>
      <c r="G243" s="26"/>
      <c r="H243" s="5"/>
    </row>
    <row r="244" spans="3:8" ht="14.25" customHeight="1">
      <c r="C244" s="244"/>
      <c r="D244" s="26"/>
      <c r="E244" s="26"/>
      <c r="F244" s="26"/>
      <c r="G244" s="26"/>
      <c r="H244" s="5"/>
    </row>
    <row r="245" spans="3:8" ht="14.25" customHeight="1">
      <c r="C245" s="244"/>
      <c r="D245" s="26"/>
      <c r="E245" s="26"/>
      <c r="F245" s="26"/>
      <c r="G245" s="26"/>
      <c r="H245" s="5"/>
    </row>
    <row r="246" spans="3:8" ht="14.25" customHeight="1">
      <c r="C246" s="244"/>
      <c r="D246" s="26"/>
      <c r="E246" s="26"/>
      <c r="F246" s="26"/>
      <c r="G246" s="26"/>
      <c r="H246" s="5"/>
    </row>
    <row r="247" spans="3:8" ht="14.25" customHeight="1">
      <c r="C247" s="244"/>
      <c r="D247" s="26"/>
      <c r="E247" s="26"/>
      <c r="F247" s="26"/>
      <c r="G247" s="26"/>
      <c r="H247" s="5"/>
    </row>
    <row r="248" spans="3:8" ht="14.25" customHeight="1">
      <c r="C248" s="244"/>
      <c r="D248" s="26"/>
      <c r="E248" s="26"/>
      <c r="F248" s="26"/>
      <c r="G248" s="26"/>
      <c r="H248" s="5"/>
    </row>
    <row r="249" spans="3:8" ht="14.25" customHeight="1">
      <c r="C249" s="244"/>
      <c r="D249" s="26"/>
      <c r="E249" s="26"/>
      <c r="F249" s="26"/>
      <c r="G249" s="26"/>
      <c r="H249" s="5"/>
    </row>
    <row r="250" spans="3:8" ht="14.25" customHeight="1">
      <c r="C250" s="244"/>
      <c r="D250" s="26"/>
      <c r="E250" s="26"/>
      <c r="F250" s="26"/>
      <c r="G250" s="26"/>
      <c r="H250" s="5"/>
    </row>
    <row r="251" spans="3:8" ht="14.25" customHeight="1">
      <c r="C251" s="244"/>
      <c r="D251" s="26"/>
      <c r="E251" s="26"/>
      <c r="F251" s="26"/>
      <c r="G251" s="26"/>
      <c r="H251" s="5"/>
    </row>
    <row r="252" spans="3:8" ht="14.25" customHeight="1">
      <c r="C252" s="244"/>
      <c r="D252" s="26"/>
      <c r="E252" s="26"/>
      <c r="F252" s="26"/>
      <c r="G252" s="26"/>
      <c r="H252" s="5"/>
    </row>
    <row r="253" spans="3:8" ht="14.25" customHeight="1">
      <c r="C253" s="244"/>
      <c r="D253" s="26"/>
      <c r="E253" s="26"/>
      <c r="F253" s="26"/>
      <c r="G253" s="26"/>
      <c r="H253" s="5"/>
    </row>
    <row r="254" spans="3:8" ht="14.25" customHeight="1">
      <c r="C254" s="244"/>
      <c r="D254" s="26"/>
      <c r="E254" s="26"/>
      <c r="F254" s="26"/>
      <c r="G254" s="26"/>
      <c r="H254" s="5"/>
    </row>
    <row r="255" spans="3:8" ht="14.25" customHeight="1">
      <c r="C255" s="244"/>
      <c r="D255" s="26"/>
      <c r="E255" s="26"/>
      <c r="F255" s="26"/>
      <c r="G255" s="26"/>
      <c r="H255" s="5"/>
    </row>
    <row r="256" spans="3:8" ht="14.25" customHeight="1">
      <c r="C256" s="244"/>
      <c r="D256" s="26"/>
      <c r="E256" s="26"/>
      <c r="F256" s="26"/>
      <c r="G256" s="26"/>
      <c r="H256" s="5"/>
    </row>
    <row r="257" spans="3:8" ht="14.25" customHeight="1">
      <c r="C257" s="244"/>
      <c r="D257" s="26"/>
      <c r="E257" s="26"/>
      <c r="F257" s="26"/>
      <c r="G257" s="26"/>
      <c r="H257" s="5"/>
    </row>
    <row r="258" spans="3:8" ht="14.25" customHeight="1">
      <c r="C258" s="244"/>
      <c r="D258" s="26"/>
      <c r="E258" s="26"/>
      <c r="F258" s="26"/>
      <c r="G258" s="26"/>
      <c r="H258" s="5"/>
    </row>
    <row r="259" spans="3:8" ht="14.25" customHeight="1">
      <c r="C259" s="244"/>
      <c r="D259" s="26"/>
      <c r="E259" s="26"/>
      <c r="F259" s="26"/>
      <c r="G259" s="26"/>
      <c r="H259" s="5"/>
    </row>
    <row r="260" spans="3:8" ht="14.25" customHeight="1">
      <c r="C260" s="244"/>
      <c r="D260" s="26"/>
      <c r="E260" s="26"/>
      <c r="F260" s="26"/>
      <c r="G260" s="26"/>
      <c r="H260" s="5"/>
    </row>
    <row r="261" spans="3:8" ht="14.25" customHeight="1">
      <c r="C261" s="244"/>
      <c r="D261" s="26"/>
      <c r="E261" s="26"/>
      <c r="F261" s="26"/>
      <c r="G261" s="26"/>
      <c r="H261" s="5"/>
    </row>
    <row r="262" spans="3:8" ht="14.25" customHeight="1">
      <c r="C262" s="244"/>
      <c r="D262" s="26"/>
      <c r="E262" s="26"/>
      <c r="F262" s="26"/>
      <c r="G262" s="26"/>
      <c r="H262" s="5"/>
    </row>
    <row r="263" spans="3:8" ht="14.25" customHeight="1">
      <c r="C263" s="244"/>
      <c r="D263" s="26"/>
      <c r="E263" s="26"/>
      <c r="F263" s="26"/>
      <c r="G263" s="26"/>
      <c r="H263" s="5"/>
    </row>
    <row r="264" spans="3:8" ht="14.25" customHeight="1">
      <c r="C264" s="244"/>
      <c r="D264" s="26"/>
      <c r="E264" s="26"/>
      <c r="F264" s="26"/>
      <c r="G264" s="26"/>
      <c r="H264" s="5"/>
    </row>
    <row r="265" spans="3:8" ht="14.25" customHeight="1">
      <c r="C265" s="244"/>
      <c r="D265" s="26"/>
      <c r="E265" s="26"/>
      <c r="F265" s="26"/>
      <c r="G265" s="26"/>
      <c r="H265" s="5"/>
    </row>
    <row r="266" spans="3:8" ht="14.25" customHeight="1">
      <c r="C266" s="244"/>
      <c r="D266" s="26"/>
      <c r="E266" s="26"/>
      <c r="F266" s="26"/>
      <c r="G266" s="26"/>
      <c r="H266" s="5"/>
    </row>
    <row r="267" spans="3:8" ht="14.25" customHeight="1">
      <c r="C267" s="244"/>
      <c r="D267" s="26"/>
      <c r="E267" s="26"/>
      <c r="F267" s="26"/>
      <c r="G267" s="26"/>
      <c r="H267" s="5"/>
    </row>
    <row r="268" spans="3:8" ht="14.25" customHeight="1">
      <c r="C268" s="244"/>
      <c r="D268" s="26"/>
      <c r="E268" s="26"/>
      <c r="F268" s="26"/>
      <c r="G268" s="26"/>
      <c r="H268" s="5"/>
    </row>
    <row r="269" spans="3:8" ht="14.25" customHeight="1">
      <c r="C269" s="244"/>
      <c r="D269" s="26"/>
      <c r="E269" s="26"/>
      <c r="F269" s="26"/>
      <c r="G269" s="26"/>
      <c r="H269" s="5"/>
    </row>
    <row r="270" spans="3:8" ht="14.25" customHeight="1">
      <c r="C270" s="244"/>
      <c r="D270" s="26"/>
      <c r="E270" s="26"/>
      <c r="F270" s="26"/>
      <c r="G270" s="26"/>
      <c r="H270" s="5"/>
    </row>
    <row r="271" spans="3:8" ht="14.25" customHeight="1">
      <c r="C271" s="244"/>
      <c r="D271" s="26"/>
      <c r="E271" s="26"/>
      <c r="F271" s="26"/>
      <c r="G271" s="26"/>
      <c r="H271" s="5"/>
    </row>
    <row r="272" spans="3:8" ht="14.25" customHeight="1">
      <c r="C272" s="244"/>
      <c r="D272" s="26"/>
      <c r="E272" s="26"/>
      <c r="F272" s="26"/>
      <c r="G272" s="26"/>
      <c r="H272" s="5"/>
    </row>
    <row r="273" spans="2:46" ht="14.25" customHeight="1">
      <c r="C273" s="244"/>
      <c r="D273" s="26"/>
      <c r="E273" s="26"/>
      <c r="F273" s="26"/>
      <c r="G273" s="26"/>
      <c r="H273" s="5"/>
    </row>
    <row r="274" spans="2:46" ht="14.25" customHeight="1">
      <c r="C274" s="244"/>
      <c r="D274" s="26"/>
      <c r="E274" s="26"/>
      <c r="F274" s="26"/>
      <c r="G274" s="26"/>
      <c r="H274" s="5"/>
    </row>
    <row r="275" spans="2:46" ht="14.25" customHeight="1">
      <c r="C275" s="244"/>
      <c r="D275" s="26"/>
      <c r="E275" s="26"/>
      <c r="F275" s="26"/>
      <c r="G275" s="26"/>
      <c r="H275" s="5"/>
    </row>
    <row r="276" spans="2:46" ht="14.25" customHeight="1">
      <c r="C276" s="244"/>
      <c r="D276" s="26"/>
      <c r="E276" s="26"/>
      <c r="F276" s="26"/>
      <c r="G276" s="26"/>
      <c r="H276" s="5"/>
    </row>
    <row r="277" spans="2:46" ht="14.25" customHeight="1">
      <c r="C277" s="244"/>
      <c r="D277" s="26"/>
      <c r="E277" s="26"/>
      <c r="F277" s="26"/>
      <c r="G277" s="26"/>
      <c r="H277" s="5"/>
    </row>
    <row r="278" spans="2:46" ht="14.25" customHeight="1">
      <c r="C278" s="244"/>
      <c r="D278" s="26"/>
      <c r="E278" s="26"/>
      <c r="F278" s="26"/>
      <c r="G278" s="26"/>
      <c r="H278" s="5"/>
    </row>
    <row r="279" spans="2:46" ht="13.5" customHeight="1">
      <c r="C279" s="244"/>
      <c r="D279" s="26"/>
      <c r="E279" s="26"/>
      <c r="F279" s="26"/>
      <c r="G279" s="26"/>
      <c r="H279" s="5"/>
    </row>
    <row r="280" spans="2:46" ht="14.25" customHeight="1">
      <c r="C280" s="244"/>
      <c r="D280" s="26"/>
      <c r="E280" s="26"/>
      <c r="F280" s="26"/>
      <c r="G280" s="26"/>
      <c r="H280" s="5"/>
    </row>
    <row r="281" spans="2:46" ht="14.25" customHeight="1">
      <c r="C281" s="244"/>
      <c r="D281" s="26"/>
      <c r="E281" s="26"/>
      <c r="F281" s="26"/>
      <c r="G281" s="26"/>
      <c r="H281" s="5"/>
    </row>
    <row r="282" spans="2:46" ht="14.25" customHeight="1">
      <c r="C282" s="244"/>
      <c r="D282" s="26"/>
      <c r="E282" s="26"/>
      <c r="F282" s="26"/>
      <c r="G282" s="26"/>
      <c r="H282" s="5"/>
    </row>
    <row r="283" spans="2:46" ht="14.25" customHeight="1">
      <c r="C283" s="244"/>
      <c r="D283" s="26"/>
      <c r="E283" s="26"/>
      <c r="F283" s="26"/>
      <c r="G283" s="26"/>
      <c r="H283" s="5"/>
    </row>
    <row r="284" spans="2:46" ht="14.25" customHeight="1">
      <c r="C284" s="244"/>
      <c r="D284" s="26"/>
      <c r="E284" s="26"/>
      <c r="F284" s="26"/>
      <c r="G284" s="26"/>
      <c r="H284" s="5"/>
    </row>
    <row r="285" spans="2:46" ht="14.25" customHeight="1">
      <c r="C285" s="244"/>
      <c r="D285" s="26"/>
      <c r="E285" s="26"/>
      <c r="F285" s="26"/>
      <c r="G285" s="26"/>
      <c r="H285" s="5"/>
    </row>
    <row r="286" spans="2:46" ht="14.25" customHeight="1">
      <c r="C286" s="244"/>
      <c r="D286" s="26"/>
      <c r="E286" s="26"/>
      <c r="F286" s="26"/>
      <c r="G286" s="26"/>
      <c r="H286" s="5"/>
    </row>
    <row r="287" spans="2:46" s="8" customFormat="1">
      <c r="B287" s="550" t="str">
        <f>TITLE!$C$11</f>
        <v>Полотна каркасно-щитові: ІДЕЯ</v>
      </c>
      <c r="C287" s="550"/>
      <c r="D287" s="117"/>
      <c r="E287" s="117"/>
      <c r="F287" s="117"/>
      <c r="G287" s="117"/>
      <c r="H287" s="117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544" t="str">
        <f>IF($C$1="ENG",CONCATENATE("up to: "),CONCATENATE("вгору до: ",B161))</f>
        <v>вгору до: Полотна каркасно-щитові: ГЕОМЕТРІЯ</v>
      </c>
      <c r="T287" s="546"/>
      <c r="U287" s="546"/>
      <c r="V287" s="546"/>
      <c r="W287" s="546"/>
      <c r="AN287" s="279"/>
      <c r="AO287" s="279"/>
      <c r="AP287" s="279"/>
      <c r="AQ287" s="279"/>
      <c r="AR287" s="279"/>
      <c r="AS287" s="279"/>
      <c r="AT287" s="279"/>
    </row>
    <row r="288" spans="2:46" s="8" customFormat="1" ht="5.0999999999999996" customHeight="1">
      <c r="B288" s="116"/>
      <c r="C288" s="418"/>
      <c r="D288" s="9"/>
      <c r="E288" s="9"/>
      <c r="F288" s="9"/>
      <c r="G288" s="9"/>
      <c r="H288" s="10"/>
      <c r="T288" s="114"/>
      <c r="U288" s="114"/>
      <c r="V288" s="114"/>
      <c r="W288" s="114"/>
      <c r="AN288" s="279"/>
      <c r="AO288" s="279"/>
      <c r="AP288" s="279"/>
      <c r="AQ288" s="279"/>
      <c r="AR288" s="279"/>
      <c r="AS288" s="279"/>
      <c r="AT288" s="279"/>
    </row>
    <row r="289" spans="1:42" ht="12.75" customHeight="1">
      <c r="A289" s="8"/>
      <c r="B289" s="556" t="str">
        <f>IF($C$1="ENG","model","модель")</f>
        <v>модель</v>
      </c>
      <c r="C289" s="121" t="str">
        <f>IF($C$1="ENG","cover:","покриття:")</f>
        <v>покриття:</v>
      </c>
      <c r="D289" s="538" t="str">
        <f>IF($C$1="ENG","SIMPL / V-CELL","SIMPL / V-CELL")</f>
        <v>SIMPL / V-CELL</v>
      </c>
      <c r="E289" s="539"/>
      <c r="F289" s="538" t="str">
        <f>IF($C$1="ENG","UNI-MAT","UNI-MAT")</f>
        <v>UNI-MAT</v>
      </c>
      <c r="G289" s="539"/>
      <c r="H289" s="538" t="str">
        <f>IF($C$1="ENG","RESIST","RESIST")</f>
        <v>RESIST</v>
      </c>
      <c r="I289" s="539"/>
      <c r="J289" s="46"/>
      <c r="K289" s="46"/>
      <c r="L289" s="99"/>
      <c r="M289" s="11"/>
      <c r="P289" s="99"/>
      <c r="Q289" s="11"/>
    </row>
    <row r="290" spans="1:42" ht="12.75" customHeight="1">
      <c r="A290" s="8"/>
      <c r="B290" s="557"/>
      <c r="C290" s="122" t="str">
        <f>IF($C$1="ENG","filling:","заповнення:")</f>
        <v>заповнення:</v>
      </c>
      <c r="D290" s="540" t="str">
        <f>IF($C$1="ENG","honeycomb core ","сотове заповнення")</f>
        <v>сотове заповнення</v>
      </c>
      <c r="E290" s="541"/>
      <c r="F290" s="540" t="str">
        <f>IF($C$1="ENG","honeycomb core ","сотове заповнення")</f>
        <v>сотове заповнення</v>
      </c>
      <c r="G290" s="541"/>
      <c r="H290" s="540" t="str">
        <f>IF($C$1="ENG","honeycomb core ","сотове заповнення")</f>
        <v>сотове заповнення</v>
      </c>
      <c r="I290" s="541"/>
      <c r="J290" s="145"/>
      <c r="K290" s="145"/>
      <c r="L290" s="99"/>
      <c r="M290" s="11"/>
      <c r="P290" s="99"/>
      <c r="Q290" s="11"/>
    </row>
    <row r="291" spans="1:42" ht="12.75" customHeight="1">
      <c r="A291" s="8"/>
      <c r="B291" s="558"/>
      <c r="C291" s="123" t="str">
        <f>IF($C$1="ENG","glazing:","скління:")</f>
        <v>скління:</v>
      </c>
      <c r="D291" s="542" t="str">
        <f>IF($C$1="ENG","Satin / Wave","Сатин ")</f>
        <v xml:space="preserve">Сатин </v>
      </c>
      <c r="E291" s="543"/>
      <c r="F291" s="542" t="str">
        <f>IF($C$1="ENG","Satin / Wave","Сатин")</f>
        <v>Сатин</v>
      </c>
      <c r="G291" s="543"/>
      <c r="H291" s="542" t="str">
        <f>IF($C$1="ENG","Satin / Wave","Сатин")</f>
        <v>Сатин</v>
      </c>
      <c r="I291" s="543"/>
      <c r="J291" s="47"/>
      <c r="K291" s="130"/>
      <c r="L291" s="99"/>
      <c r="M291" s="11"/>
      <c r="P291" s="99"/>
      <c r="Q291" s="11"/>
      <c r="AC291" s="1" t="str">
        <f>D289</f>
        <v>SIMPL / V-CELL</v>
      </c>
      <c r="AD291" s="1" t="str">
        <f>F289</f>
        <v>UNI-MAT</v>
      </c>
      <c r="AE291" s="1" t="str">
        <f>H289</f>
        <v>RESIST</v>
      </c>
    </row>
    <row r="292" spans="1:42" ht="35.1" customHeight="1">
      <c r="A292" s="8"/>
      <c r="B292" s="13" t="s">
        <v>23</v>
      </c>
      <c r="C292" s="14"/>
      <c r="D292" s="15">
        <f>IF(AC292="","",(1-$W$2)*(AC292/1.2))</f>
        <v>2075</v>
      </c>
      <c r="E292" s="64">
        <f>IF($W$5=0.2,D292*1.2,D292)/$W$4</f>
        <v>2490</v>
      </c>
      <c r="F292" s="15">
        <f>IF(AD292="","",(1-$W$2)*(AD292/1.2))</f>
        <v>2383.3333333333335</v>
      </c>
      <c r="G292" s="64">
        <f>IF($W$5=0.2,F292*1.2,F292)/$W$4</f>
        <v>2860</v>
      </c>
      <c r="H292" s="15">
        <f>IF(AE292="","",(1-$W$2)*(AE292/1.2))</f>
        <v>2641.666666666667</v>
      </c>
      <c r="I292" s="64">
        <f>IF($W$5=0.2,H292*1.2,H292)/$W$4</f>
        <v>3170.0000000000005</v>
      </c>
      <c r="J292" s="28"/>
      <c r="K292" s="59"/>
      <c r="L292" s="141"/>
      <c r="M292" s="20"/>
      <c r="N292" s="103"/>
      <c r="O292" s="20"/>
      <c r="P292" s="141"/>
      <c r="Q292" s="20"/>
      <c r="R292" s="103"/>
      <c r="S292" s="20"/>
      <c r="T292" s="103"/>
      <c r="V292" s="103"/>
      <c r="W292" s="20"/>
      <c r="X292" s="22"/>
      <c r="Y292" s="22"/>
      <c r="Z292" s="22"/>
      <c r="AA292" s="22"/>
      <c r="AB292" s="22"/>
      <c r="AC292" s="331">
        <v>2490</v>
      </c>
      <c r="AD292" s="331">
        <v>2860</v>
      </c>
      <c r="AE292" s="331">
        <v>3170</v>
      </c>
      <c r="AF292" s="288">
        <v>2490</v>
      </c>
      <c r="AG292" s="288">
        <f>AF292/AC292-1</f>
        <v>0</v>
      </c>
      <c r="AH292" s="288">
        <v>2860</v>
      </c>
      <c r="AI292" s="288">
        <f>AH292/AD292-1</f>
        <v>0</v>
      </c>
      <c r="AJ292" s="288">
        <v>3170</v>
      </c>
      <c r="AK292" s="288">
        <f>AJ292/AE292-1</f>
        <v>0</v>
      </c>
      <c r="AL292" s="288"/>
      <c r="AM292" s="333"/>
      <c r="AN292" s="309"/>
      <c r="AO292" s="333"/>
      <c r="AP292" s="332"/>
    </row>
    <row r="293" spans="1:42" ht="35.1" customHeight="1">
      <c r="A293" s="8"/>
      <c r="B293" s="16" t="s">
        <v>19</v>
      </c>
      <c r="C293" s="17"/>
      <c r="D293" s="18">
        <f>IF(AC293="","",(1-$W$2)*(AC293/1.2))</f>
        <v>3991.666666666667</v>
      </c>
      <c r="E293" s="66">
        <f>IF($W$5=0.2,D293*1.2,D293)/$W$4</f>
        <v>4790</v>
      </c>
      <c r="F293" s="18">
        <f>IF(AD293="","",(1-$W$2)*(AD293/1.2))</f>
        <v>4591.666666666667</v>
      </c>
      <c r="G293" s="66">
        <f>IF($W$5=0.2,F293*1.2,F293)/$W$4</f>
        <v>5510</v>
      </c>
      <c r="H293" s="18">
        <f>IF(AE293="","",(1-$W$2)*(AE293/1.2))</f>
        <v>4958.3333333333339</v>
      </c>
      <c r="I293" s="66">
        <f>IF($W$5=0.2,H293*1.2,H293)/$W$4</f>
        <v>5950.0000000000009</v>
      </c>
      <c r="J293" s="28"/>
      <c r="K293" s="59"/>
      <c r="L293" s="141"/>
      <c r="M293" s="20"/>
      <c r="N293" s="103"/>
      <c r="O293" s="20"/>
      <c r="P293" s="141"/>
      <c r="Q293" s="20"/>
      <c r="R293" s="103"/>
      <c r="S293" s="20"/>
      <c r="T293" s="103"/>
      <c r="V293" s="103"/>
      <c r="W293" s="20"/>
      <c r="AC293" s="331">
        <v>4790</v>
      </c>
      <c r="AD293" s="331">
        <v>5510</v>
      </c>
      <c r="AE293" s="331">
        <v>5950</v>
      </c>
      <c r="AF293" s="288">
        <v>4790</v>
      </c>
      <c r="AG293" s="288">
        <f t="shared" ref="AG293:AG296" si="28">AF293/AC293-1</f>
        <v>0</v>
      </c>
      <c r="AH293" s="288">
        <v>5510</v>
      </c>
      <c r="AI293" s="288">
        <f t="shared" ref="AI293:AI296" si="29">AH293/AD293-1</f>
        <v>0</v>
      </c>
      <c r="AJ293" s="288">
        <v>5950</v>
      </c>
      <c r="AK293" s="288">
        <f>AJ293/AE293-1</f>
        <v>0</v>
      </c>
      <c r="AL293" s="288"/>
      <c r="AM293" s="333"/>
      <c r="AN293" s="309"/>
      <c r="AO293" s="333"/>
      <c r="AP293" s="332"/>
    </row>
    <row r="294" spans="1:42" ht="35.1" customHeight="1">
      <c r="A294" s="8"/>
      <c r="B294" s="16" t="s">
        <v>20</v>
      </c>
      <c r="C294" s="17"/>
      <c r="D294" s="18">
        <f>IF(AC294="","",(1-$W$2)*(AC294/1.2))</f>
        <v>4158.3333333333339</v>
      </c>
      <c r="E294" s="66">
        <f>IF($W$5=0.2,D294*1.2,D294)/$W$4</f>
        <v>4990.0000000000009</v>
      </c>
      <c r="F294" s="18">
        <f>IF(AD294="","",(1-$W$2)*(AD294/1.2))</f>
        <v>4791.666666666667</v>
      </c>
      <c r="G294" s="66">
        <f>IF($W$5=0.2,F294*1.2,F294)/$W$4</f>
        <v>5750</v>
      </c>
      <c r="H294" s="18">
        <f>IF(AE294="","",(1-$W$2)*(AE294/1.2))</f>
        <v>5066.666666666667</v>
      </c>
      <c r="I294" s="66">
        <f>IF($W$5=0.2,H294*1.2,H294)/$W$4</f>
        <v>6080</v>
      </c>
      <c r="J294" s="28"/>
      <c r="K294" s="59"/>
      <c r="L294" s="141"/>
      <c r="M294" s="20"/>
      <c r="N294" s="103"/>
      <c r="O294" s="20"/>
      <c r="P294" s="141"/>
      <c r="Q294" s="20"/>
      <c r="R294" s="103"/>
      <c r="S294" s="20"/>
      <c r="T294" s="103"/>
      <c r="V294" s="103"/>
      <c r="W294" s="20"/>
      <c r="AC294" s="331">
        <v>4990</v>
      </c>
      <c r="AD294" s="331">
        <v>5750</v>
      </c>
      <c r="AE294" s="331">
        <v>6080</v>
      </c>
      <c r="AF294" s="288">
        <v>4990</v>
      </c>
      <c r="AG294" s="288">
        <f t="shared" si="28"/>
        <v>0</v>
      </c>
      <c r="AH294" s="288">
        <v>5750</v>
      </c>
      <c r="AI294" s="288">
        <f t="shared" si="29"/>
        <v>0</v>
      </c>
      <c r="AJ294" s="288">
        <v>6080</v>
      </c>
      <c r="AK294" s="288">
        <f t="shared" ref="AK294:AK296" si="30">AJ294/AE294-1</f>
        <v>0</v>
      </c>
      <c r="AL294" s="288"/>
      <c r="AM294" s="333"/>
      <c r="AN294" s="309"/>
      <c r="AO294" s="333"/>
      <c r="AP294" s="332"/>
    </row>
    <row r="295" spans="1:42" ht="35.1" customHeight="1">
      <c r="A295" s="8"/>
      <c r="B295" s="16" t="s">
        <v>22</v>
      </c>
      <c r="C295" s="17"/>
      <c r="D295" s="18">
        <f>IF(AC295="","",(1-$W$2)*(AC295/1.2))</f>
        <v>4541.666666666667</v>
      </c>
      <c r="E295" s="66">
        <f>IF($W$5=0.2,D295*1.2,D295)/$W$4</f>
        <v>5450</v>
      </c>
      <c r="F295" s="18">
        <f>IF(AD295="","",(1-$W$2)*(AD295/1.2))</f>
        <v>5225</v>
      </c>
      <c r="G295" s="66">
        <f>IF($W$5=0.2,F295*1.2,F295)/$W$4</f>
        <v>6270</v>
      </c>
      <c r="H295" s="18">
        <f>IF(AE295="","",(1-$W$2)*(AE295/1.2))</f>
        <v>5458.3333333333339</v>
      </c>
      <c r="I295" s="66">
        <f>IF($W$5=0.2,H295*1.2,H295)/$W$4</f>
        <v>6550.0000000000009</v>
      </c>
      <c r="J295" s="28"/>
      <c r="K295" s="59"/>
      <c r="L295" s="141"/>
      <c r="M295" s="20"/>
      <c r="N295" s="103"/>
      <c r="O295" s="20"/>
      <c r="P295" s="141"/>
      <c r="Q295" s="20"/>
      <c r="R295" s="103"/>
      <c r="S295" s="20"/>
      <c r="T295" s="103"/>
      <c r="V295" s="103"/>
      <c r="W295" s="20"/>
      <c r="AC295" s="331">
        <v>5450</v>
      </c>
      <c r="AD295" s="331">
        <v>6270</v>
      </c>
      <c r="AE295" s="331">
        <v>6550</v>
      </c>
      <c r="AF295" s="288">
        <v>5450</v>
      </c>
      <c r="AG295" s="288">
        <f t="shared" si="28"/>
        <v>0</v>
      </c>
      <c r="AH295" s="288">
        <v>6270</v>
      </c>
      <c r="AI295" s="288">
        <f t="shared" si="29"/>
        <v>0</v>
      </c>
      <c r="AJ295" s="288">
        <v>6550</v>
      </c>
      <c r="AK295" s="288">
        <f t="shared" si="30"/>
        <v>0</v>
      </c>
      <c r="AL295" s="288"/>
      <c r="AM295" s="333"/>
      <c r="AN295" s="309"/>
      <c r="AO295" s="333"/>
      <c r="AP295" s="332"/>
    </row>
    <row r="296" spans="1:42" ht="35.1" customHeight="1">
      <c r="A296" s="8"/>
      <c r="B296" s="23" t="s">
        <v>24</v>
      </c>
      <c r="C296" s="24"/>
      <c r="D296" s="25">
        <f>IF(AC296="","",(1-$W$2)*(AC296/1.2))</f>
        <v>3475</v>
      </c>
      <c r="E296" s="69">
        <f>IF($W$5=0.2,D296*1.2,D296)/$W$4</f>
        <v>4170</v>
      </c>
      <c r="F296" s="25">
        <f>IF(AD296="","",(1-$W$2)*(AD296/1.2))</f>
        <v>3991.666666666667</v>
      </c>
      <c r="G296" s="69">
        <f>IF($W$5=0.2,F296*1.2,F296)/$W$4</f>
        <v>4790</v>
      </c>
      <c r="H296" s="25">
        <f>IF(AE296="","",(1-$W$2)*(AE296/1.2))</f>
        <v>4158.3333333333339</v>
      </c>
      <c r="I296" s="69">
        <f>IF($W$5=0.2,H296*1.2,H296)/$W$4</f>
        <v>4990.0000000000009</v>
      </c>
      <c r="J296" s="28"/>
      <c r="K296" s="59"/>
      <c r="L296" s="141"/>
      <c r="M296" s="20"/>
      <c r="N296" s="103"/>
      <c r="O296" s="20"/>
      <c r="P296" s="141"/>
      <c r="Q296" s="20"/>
      <c r="R296" s="103"/>
      <c r="S296" s="20"/>
      <c r="T296" s="103"/>
      <c r="V296" s="103"/>
      <c r="W296" s="20"/>
      <c r="AC296" s="331">
        <v>4170</v>
      </c>
      <c r="AD296" s="331">
        <v>4790</v>
      </c>
      <c r="AE296" s="331">
        <v>4990</v>
      </c>
      <c r="AF296" s="288">
        <v>4170</v>
      </c>
      <c r="AG296" s="288">
        <f t="shared" si="28"/>
        <v>0</v>
      </c>
      <c r="AH296" s="288">
        <v>4790</v>
      </c>
      <c r="AI296" s="288">
        <f t="shared" si="29"/>
        <v>0</v>
      </c>
      <c r="AJ296" s="288">
        <v>4990</v>
      </c>
      <c r="AK296" s="288">
        <f t="shared" si="30"/>
        <v>0</v>
      </c>
      <c r="AL296" s="288"/>
      <c r="AM296" s="333"/>
      <c r="AN296" s="309"/>
      <c r="AO296" s="333"/>
      <c r="AP296" s="332"/>
    </row>
    <row r="297" spans="1:42">
      <c r="C297" s="244"/>
      <c r="D297" s="26"/>
      <c r="E297" s="57"/>
      <c r="F297" s="26"/>
      <c r="G297" s="57"/>
      <c r="H297" s="60"/>
      <c r="I297" s="142"/>
      <c r="J297" s="48"/>
      <c r="K297" s="142"/>
      <c r="L297" s="48"/>
      <c r="P297" s="48"/>
    </row>
    <row r="298" spans="1:42">
      <c r="B298" s="211" t="str">
        <f>IF($C$1="ENG","For additonal charge:","Послуги за додаткову плату:")</f>
        <v>Послуги за додаткову плату:</v>
      </c>
      <c r="C298" s="419"/>
      <c r="D298" s="212"/>
      <c r="E298" s="213"/>
      <c r="F298" s="26"/>
      <c r="G298" s="26"/>
      <c r="H298" s="10"/>
      <c r="I298" s="83"/>
      <c r="K298" s="20"/>
    </row>
    <row r="299" spans="1:42" ht="5.0999999999999996" customHeight="1">
      <c r="B299" s="27"/>
      <c r="C299" s="244"/>
      <c r="D299" s="26"/>
      <c r="E299" s="57"/>
      <c r="F299" s="26"/>
      <c r="G299" s="26"/>
      <c r="H299" s="10"/>
      <c r="I299" s="8"/>
      <c r="K299" s="20"/>
    </row>
    <row r="300" spans="1:42">
      <c r="B300" s="561" t="str">
        <f>IF($C$1="ENG","Ventilation sleeves (1 row)","вентиляційні віддушини (1ряд)")</f>
        <v>вентиляційні віддушини (1ряд)</v>
      </c>
      <c r="C300" s="562"/>
      <c r="D300" s="408">
        <f t="shared" ref="D300:D313" si="31">IF(AC300="","",(1-$W$2)*(AC300/1.2))</f>
        <v>208.33333333333334</v>
      </c>
      <c r="E300" s="64">
        <f t="shared" ref="E300:E311" si="32">IF($W$5=0.2,D300*1.2,D300)/$W$4</f>
        <v>250</v>
      </c>
      <c r="F300" s="26"/>
      <c r="G300" s="26"/>
      <c r="AC300" s="297">
        <v>250</v>
      </c>
      <c r="AD300" s="288">
        <v>250</v>
      </c>
      <c r="AE300" s="288">
        <f t="shared" ref="AE300" si="33">AD300/AC300-1</f>
        <v>0</v>
      </c>
      <c r="AF300" s="288"/>
      <c r="AG300" s="288"/>
      <c r="AH300" s="288"/>
      <c r="AI300" s="288"/>
      <c r="AJ300" s="288"/>
      <c r="AK300" s="288"/>
      <c r="AL300" s="288"/>
    </row>
    <row r="301" spans="1:42">
      <c r="B301" s="561" t="str">
        <f>IF($C$1="ENG","Ventilation cut","вентиляційний підріз")</f>
        <v>вентиляційний підріз</v>
      </c>
      <c r="C301" s="562"/>
      <c r="D301" s="403">
        <f t="shared" si="31"/>
        <v>141.66666666666669</v>
      </c>
      <c r="E301" s="66">
        <f t="shared" si="32"/>
        <v>170.00000000000003</v>
      </c>
      <c r="F301" s="26"/>
      <c r="G301" s="26"/>
      <c r="I301" s="59"/>
      <c r="J301" s="28"/>
      <c r="AC301" s="297">
        <v>170</v>
      </c>
      <c r="AD301" s="288">
        <v>170</v>
      </c>
      <c r="AE301" s="288">
        <f t="shared" ref="AE301:AE313" si="34">AD301/AC301-1</f>
        <v>0</v>
      </c>
      <c r="AF301" s="288"/>
      <c r="AG301" s="288"/>
      <c r="AH301" s="288"/>
      <c r="AI301" s="288"/>
      <c r="AJ301" s="288"/>
      <c r="AK301" s="288"/>
      <c r="AL301" s="288"/>
    </row>
    <row r="302" spans="1:42">
      <c r="B302" s="561" t="str">
        <f>IF($C$1="ENG","third door hindge","третя завіса")</f>
        <v>третя завіса</v>
      </c>
      <c r="C302" s="562"/>
      <c r="D302" s="403">
        <f t="shared" si="31"/>
        <v>66.666666666666671</v>
      </c>
      <c r="E302" s="66">
        <f t="shared" si="32"/>
        <v>80</v>
      </c>
      <c r="F302" s="26"/>
      <c r="G302" s="26"/>
      <c r="AC302" s="297">
        <v>80</v>
      </c>
      <c r="AD302" s="288">
        <v>80</v>
      </c>
      <c r="AE302" s="288">
        <f t="shared" si="34"/>
        <v>0</v>
      </c>
      <c r="AF302" s="288"/>
      <c r="AG302" s="288"/>
      <c r="AH302" s="288"/>
      <c r="AI302" s="288"/>
      <c r="AJ302" s="288"/>
      <c r="AK302" s="288"/>
      <c r="AL302" s="288"/>
    </row>
    <row r="303" spans="1:42">
      <c r="B303" s="554" t="str">
        <f>IF($C$1="ENG","glazing Graphite / Bronze","скло Графіт / Бронза")</f>
        <v>скло Графіт / Бронза</v>
      </c>
      <c r="C303" s="555"/>
      <c r="D303" s="405">
        <f>IF(AC303="","",(1-$W$2)*(AC303/1.2))</f>
        <v>458.33333333333337</v>
      </c>
      <c r="E303" s="92">
        <f>IF($W$5=0.2,D303*1.2,D303)/$W$4</f>
        <v>550</v>
      </c>
      <c r="F303" s="26"/>
      <c r="G303" s="26"/>
      <c r="H303" s="5"/>
      <c r="AC303" s="297">
        <v>550</v>
      </c>
      <c r="AD303" s="288">
        <v>550</v>
      </c>
      <c r="AE303" s="288">
        <f t="shared" si="34"/>
        <v>0</v>
      </c>
      <c r="AF303" s="288"/>
      <c r="AG303" s="288"/>
      <c r="AH303" s="288"/>
      <c r="AI303" s="288"/>
      <c r="AJ303" s="288"/>
      <c r="AK303" s="288"/>
      <c r="AL303" s="288"/>
    </row>
    <row r="304" spans="1:42">
      <c r="B304" s="554" t="str">
        <f>IF($C$1="ENG","door lock Soft","замок Soft")</f>
        <v>замок Soft</v>
      </c>
      <c r="C304" s="555"/>
      <c r="D304" s="405">
        <f t="shared" si="31"/>
        <v>458.33333333333337</v>
      </c>
      <c r="E304" s="92">
        <f t="shared" si="32"/>
        <v>550</v>
      </c>
      <c r="F304" s="26"/>
      <c r="G304" s="26"/>
      <c r="H304" s="5"/>
      <c r="AC304" s="297">
        <v>550</v>
      </c>
      <c r="AD304" s="288">
        <v>550</v>
      </c>
      <c r="AE304" s="288">
        <f t="shared" si="34"/>
        <v>0</v>
      </c>
      <c r="AF304" s="288"/>
      <c r="AG304" s="288"/>
      <c r="AH304" s="288"/>
      <c r="AI304" s="288"/>
      <c r="AJ304" s="288"/>
      <c r="AK304" s="288"/>
      <c r="AL304" s="288"/>
    </row>
    <row r="305" spans="2:38">
      <c r="B305" s="554" t="str">
        <f>IF($C$1="ENG","door lock Soft black","замок Soft чорн.")</f>
        <v>замок Soft чорн.</v>
      </c>
      <c r="C305" s="555"/>
      <c r="D305" s="405">
        <f t="shared" ref="D305" si="35">IF(AC305="","",(1-$W$2)*(AC305/1.2))</f>
        <v>566.66666666666674</v>
      </c>
      <c r="E305" s="92">
        <f t="shared" ref="E305" si="36">IF($W$5=0.2,D305*1.2,D305)/$W$4</f>
        <v>680.00000000000011</v>
      </c>
      <c r="F305" s="26"/>
      <c r="G305" s="26"/>
      <c r="H305" s="5"/>
      <c r="AC305" s="297">
        <v>680</v>
      </c>
      <c r="AD305" s="288"/>
      <c r="AE305" s="288"/>
      <c r="AF305" s="288"/>
      <c r="AG305" s="288"/>
      <c r="AH305" s="288"/>
      <c r="AI305" s="288"/>
      <c r="AJ305" s="288"/>
      <c r="AK305" s="288"/>
      <c r="AL305" s="288"/>
    </row>
    <row r="306" spans="2:38">
      <c r="B306" s="554" t="str">
        <f>IF($C$1="ENG","door lock Magnet","замок Magnet")</f>
        <v>замок Magnet</v>
      </c>
      <c r="C306" s="555"/>
      <c r="D306" s="405">
        <f t="shared" si="31"/>
        <v>666.66666666666674</v>
      </c>
      <c r="E306" s="92">
        <f t="shared" si="32"/>
        <v>800.00000000000011</v>
      </c>
      <c r="F306" s="26"/>
      <c r="G306" s="26"/>
      <c r="H306" s="5"/>
      <c r="AC306" s="297">
        <v>800</v>
      </c>
      <c r="AD306" s="288">
        <v>800</v>
      </c>
      <c r="AE306" s="288">
        <f t="shared" si="34"/>
        <v>0</v>
      </c>
      <c r="AF306" s="288"/>
      <c r="AG306" s="288"/>
      <c r="AH306" s="288"/>
      <c r="AI306" s="288"/>
      <c r="AJ306" s="288"/>
      <c r="AK306" s="288"/>
      <c r="AL306" s="288"/>
    </row>
    <row r="307" spans="2:38">
      <c r="B307" s="554" t="s">
        <v>66</v>
      </c>
      <c r="C307" s="555"/>
      <c r="D307" s="405">
        <f t="shared" ref="D307" si="37">IF(AC307="","",(1-$W$2)*(AC307/1.2))</f>
        <v>833.33333333333337</v>
      </c>
      <c r="E307" s="92">
        <f t="shared" si="32"/>
        <v>1000</v>
      </c>
      <c r="F307" s="26"/>
      <c r="G307" s="26"/>
      <c r="H307" s="5"/>
      <c r="AC307" s="297">
        <v>1000</v>
      </c>
      <c r="AD307" s="288"/>
      <c r="AE307" s="288"/>
      <c r="AF307" s="288"/>
      <c r="AG307" s="288"/>
      <c r="AH307" s="288"/>
      <c r="AI307" s="288"/>
      <c r="AJ307" s="288"/>
      <c r="AK307" s="288"/>
      <c r="AL307" s="288"/>
    </row>
    <row r="308" spans="2:38">
      <c r="B308" s="554" t="str">
        <f>IF($C$1="ENG","door handle-lock (for sliding doors)","ручка-замок (для дверей купе)")</f>
        <v>ручка-замок (для дверей купе)</v>
      </c>
      <c r="C308" s="555"/>
      <c r="D308" s="403">
        <f t="shared" si="31"/>
        <v>466.66666666666669</v>
      </c>
      <c r="E308" s="66">
        <f t="shared" si="32"/>
        <v>560</v>
      </c>
      <c r="F308" s="26"/>
      <c r="G308" s="26"/>
      <c r="I308" s="30"/>
      <c r="K308" s="30"/>
      <c r="AC308" s="297">
        <v>560</v>
      </c>
      <c r="AD308" s="288">
        <v>560</v>
      </c>
      <c r="AE308" s="288">
        <f t="shared" si="34"/>
        <v>0</v>
      </c>
      <c r="AF308" s="288"/>
      <c r="AG308" s="288"/>
      <c r="AH308" s="288"/>
      <c r="AI308" s="288"/>
      <c r="AJ308" s="288"/>
      <c r="AK308" s="288"/>
      <c r="AL308" s="288"/>
    </row>
    <row r="309" spans="2:38">
      <c r="B309" s="554" t="str">
        <f>IF($C$1="ENG","cylinder incert","циліндр несиметричний")</f>
        <v>циліндр несиметричний</v>
      </c>
      <c r="C309" s="555"/>
      <c r="D309" s="403">
        <f t="shared" si="31"/>
        <v>325</v>
      </c>
      <c r="E309" s="66">
        <f t="shared" si="32"/>
        <v>390</v>
      </c>
      <c r="F309" s="26"/>
      <c r="G309" s="26"/>
      <c r="AC309" s="297">
        <v>390</v>
      </c>
      <c r="AD309" s="288">
        <v>390</v>
      </c>
      <c r="AE309" s="288">
        <f t="shared" si="34"/>
        <v>0</v>
      </c>
      <c r="AF309" s="288"/>
      <c r="AG309" s="288"/>
      <c r="AH309" s="288"/>
      <c r="AI309" s="288"/>
      <c r="AJ309" s="288"/>
      <c r="AK309" s="288"/>
      <c r="AL309" s="288"/>
    </row>
    <row r="310" spans="2:38">
      <c r="B310" s="554" t="str">
        <f>IF($C$1="ENG","door hindge Prestige (1 unit)","завіса Prestige (1 шт)")</f>
        <v>завіса Prestige (1 шт)</v>
      </c>
      <c r="C310" s="555"/>
      <c r="D310" s="406">
        <f t="shared" si="31"/>
        <v>216.66666666666669</v>
      </c>
      <c r="E310" s="66">
        <f t="shared" si="32"/>
        <v>260</v>
      </c>
      <c r="F310" s="26"/>
      <c r="G310" s="26"/>
      <c r="AC310" s="297">
        <v>260</v>
      </c>
      <c r="AD310" s="288">
        <v>260</v>
      </c>
      <c r="AE310" s="288">
        <f t="shared" si="34"/>
        <v>0</v>
      </c>
      <c r="AF310" s="288"/>
      <c r="AG310" s="288"/>
      <c r="AH310" s="288"/>
      <c r="AI310" s="288"/>
      <c r="AJ310" s="288"/>
      <c r="AK310" s="288"/>
      <c r="AL310" s="288"/>
    </row>
    <row r="311" spans="2:38">
      <c r="B311" s="554" t="str">
        <f>IF($C$1="ENG","door hinge caps (1 set)","накладка на завіси (1 к-т)")</f>
        <v>накладка на завіси (1 к-т)</v>
      </c>
      <c r="C311" s="555"/>
      <c r="D311" s="406">
        <f t="shared" si="31"/>
        <v>66.666666666666671</v>
      </c>
      <c r="E311" s="66">
        <f t="shared" si="32"/>
        <v>80</v>
      </c>
      <c r="F311" s="26"/>
      <c r="G311" s="26"/>
      <c r="AC311" s="297">
        <v>80</v>
      </c>
      <c r="AD311" s="288">
        <v>80</v>
      </c>
      <c r="AE311" s="288">
        <f t="shared" si="34"/>
        <v>0</v>
      </c>
      <c r="AF311" s="288"/>
      <c r="AG311" s="288"/>
      <c r="AH311" s="288"/>
      <c r="AI311" s="288"/>
      <c r="AJ311" s="288"/>
      <c r="AK311" s="288"/>
      <c r="AL311" s="288"/>
    </row>
    <row r="312" spans="2:38">
      <c r="B312" s="554" t="str">
        <f>IF($C$1="ENG","door handle","дверна ручка")</f>
        <v>дверна ручка</v>
      </c>
      <c r="C312" s="555"/>
      <c r="D312" s="403">
        <f t="shared" si="31"/>
        <v>0</v>
      </c>
      <c r="E312" s="135" t="str">
        <f>IF($C$1="ENG","see Handles Price","див. Таблицю Ручки")</f>
        <v>див. Таблицю Ручки</v>
      </c>
      <c r="F312" s="26"/>
      <c r="G312" s="26"/>
      <c r="AC312" s="297">
        <v>0</v>
      </c>
      <c r="AD312" s="288">
        <f t="shared" ref="AD312" si="38">AC312/100*13+AC312</f>
        <v>0</v>
      </c>
      <c r="AE312" s="288" t="e">
        <f t="shared" si="34"/>
        <v>#DIV/0!</v>
      </c>
      <c r="AF312" s="288"/>
      <c r="AG312" s="288"/>
      <c r="AH312" s="288"/>
      <c r="AI312" s="288"/>
      <c r="AJ312" s="288"/>
      <c r="AK312" s="288"/>
      <c r="AL312" s="288"/>
    </row>
    <row r="313" spans="2:38">
      <c r="B313" s="554" t="str">
        <f>IF($C$1="ENG","perforated chipboard","ДСП трубчасте")</f>
        <v>ДСП трубчасте</v>
      </c>
      <c r="C313" s="555"/>
      <c r="D313" s="407">
        <f t="shared" si="31"/>
        <v>1083.3333333333335</v>
      </c>
      <c r="E313" s="69">
        <f>IF($W$5=0.2,D313*1.2,D313)/$W$4</f>
        <v>1300.0000000000002</v>
      </c>
      <c r="F313" s="26"/>
      <c r="G313" s="26"/>
      <c r="AC313" s="297">
        <v>1300</v>
      </c>
      <c r="AD313" s="288">
        <v>1300</v>
      </c>
      <c r="AE313" s="288">
        <f t="shared" si="34"/>
        <v>0</v>
      </c>
      <c r="AF313" s="288"/>
      <c r="AG313" s="288"/>
      <c r="AH313" s="288"/>
      <c r="AI313" s="288"/>
      <c r="AJ313" s="288"/>
      <c r="AK313" s="288"/>
      <c r="AL313" s="288"/>
    </row>
    <row r="314" spans="2:38" ht="14.25" customHeight="1">
      <c r="C314" s="244"/>
      <c r="D314" s="26"/>
      <c r="E314" s="26"/>
      <c r="F314" s="26"/>
      <c r="G314" s="26"/>
      <c r="H314" s="5"/>
      <c r="T314" s="571" t="str">
        <f>IF($C$1="ENG",CONCATENATE("down to: ",B364),CONCATENATE("вниз до: ",B364))</f>
        <v>вниз до: Полотна каркасно-щитові: ІДЕЯ-ЛОФТ</v>
      </c>
      <c r="U314" s="571"/>
      <c r="V314" s="571"/>
      <c r="W314" s="571"/>
    </row>
    <row r="315" spans="2:38" ht="14.25" customHeight="1">
      <c r="C315" s="244"/>
      <c r="D315" s="26"/>
      <c r="E315" s="26"/>
      <c r="F315" s="26"/>
      <c r="G315" s="26"/>
      <c r="H315" s="5"/>
    </row>
    <row r="316" spans="2:38" ht="14.25" customHeight="1">
      <c r="C316" s="244"/>
      <c r="D316" s="26"/>
      <c r="E316" s="26"/>
      <c r="F316" s="26"/>
      <c r="G316" s="26"/>
      <c r="H316" s="5"/>
    </row>
    <row r="317" spans="2:38" ht="14.25" customHeight="1">
      <c r="C317" s="244"/>
      <c r="D317" s="26"/>
      <c r="E317" s="26"/>
      <c r="F317" s="26"/>
      <c r="G317" s="26"/>
      <c r="H317" s="5"/>
    </row>
    <row r="318" spans="2:38" ht="14.25" customHeight="1">
      <c r="C318" s="244"/>
      <c r="D318" s="26"/>
      <c r="E318" s="26"/>
      <c r="F318" s="26"/>
      <c r="G318" s="26"/>
      <c r="H318" s="5"/>
    </row>
    <row r="319" spans="2:38" ht="14.25" customHeight="1">
      <c r="C319" s="244"/>
      <c r="D319" s="26"/>
      <c r="E319" s="26"/>
      <c r="F319" s="26"/>
      <c r="G319" s="26"/>
      <c r="H319" s="5"/>
    </row>
    <row r="320" spans="2:38" ht="14.25" customHeight="1">
      <c r="C320" s="244"/>
      <c r="D320" s="26"/>
      <c r="E320" s="26"/>
      <c r="F320" s="26"/>
      <c r="G320" s="26"/>
      <c r="H320" s="5"/>
    </row>
    <row r="321" spans="3:8" ht="14.25" customHeight="1">
      <c r="C321" s="244"/>
      <c r="D321" s="26"/>
      <c r="E321" s="26"/>
      <c r="F321" s="26"/>
      <c r="G321" s="26"/>
      <c r="H321" s="5"/>
    </row>
    <row r="322" spans="3:8" ht="14.25" customHeight="1">
      <c r="C322" s="244"/>
      <c r="D322" s="26"/>
      <c r="E322" s="26"/>
      <c r="F322" s="26"/>
      <c r="G322" s="26"/>
      <c r="H322" s="5"/>
    </row>
    <row r="323" spans="3:8" ht="14.25" customHeight="1">
      <c r="C323" s="244"/>
      <c r="D323" s="26"/>
      <c r="E323" s="26"/>
      <c r="F323" s="26"/>
      <c r="G323" s="26"/>
      <c r="H323" s="5"/>
    </row>
    <row r="324" spans="3:8" ht="14.25" customHeight="1">
      <c r="C324" s="244"/>
      <c r="D324" s="26"/>
      <c r="E324" s="26"/>
      <c r="F324" s="26"/>
      <c r="G324" s="26"/>
      <c r="H324" s="5"/>
    </row>
    <row r="325" spans="3:8" ht="14.25" customHeight="1">
      <c r="C325" s="244"/>
      <c r="D325" s="26"/>
      <c r="E325" s="26"/>
      <c r="F325" s="26"/>
      <c r="G325" s="26"/>
      <c r="H325" s="5"/>
    </row>
    <row r="326" spans="3:8" ht="14.25" customHeight="1">
      <c r="C326" s="244"/>
      <c r="D326" s="26"/>
      <c r="E326" s="26"/>
      <c r="F326" s="26"/>
      <c r="G326" s="26"/>
      <c r="H326" s="5"/>
    </row>
    <row r="327" spans="3:8" ht="14.25" customHeight="1">
      <c r="C327" s="244"/>
      <c r="D327" s="26"/>
      <c r="E327" s="26"/>
      <c r="F327" s="26"/>
      <c r="G327" s="26"/>
      <c r="H327" s="5"/>
    </row>
    <row r="328" spans="3:8" ht="14.25" customHeight="1">
      <c r="C328" s="244"/>
      <c r="D328" s="26"/>
      <c r="E328" s="26"/>
      <c r="F328" s="26"/>
      <c r="G328" s="26"/>
      <c r="H328" s="5"/>
    </row>
    <row r="329" spans="3:8" ht="14.25" customHeight="1">
      <c r="C329" s="244"/>
      <c r="D329" s="26"/>
      <c r="E329" s="26"/>
      <c r="F329" s="26"/>
      <c r="G329" s="26"/>
      <c r="H329" s="5"/>
    </row>
    <row r="330" spans="3:8" ht="14.25" customHeight="1">
      <c r="C330" s="244"/>
      <c r="D330" s="26"/>
      <c r="E330" s="26"/>
      <c r="F330" s="26"/>
      <c r="G330" s="26"/>
      <c r="H330" s="5"/>
    </row>
    <row r="331" spans="3:8" ht="14.25" customHeight="1">
      <c r="C331" s="244"/>
      <c r="D331" s="26"/>
      <c r="E331" s="26"/>
      <c r="F331" s="26"/>
      <c r="G331" s="26"/>
      <c r="H331" s="5"/>
    </row>
    <row r="332" spans="3:8" ht="14.25" customHeight="1">
      <c r="C332" s="244"/>
      <c r="D332" s="26"/>
      <c r="E332" s="26"/>
      <c r="F332" s="26"/>
      <c r="G332" s="26"/>
      <c r="H332" s="5"/>
    </row>
    <row r="333" spans="3:8" ht="14.25" customHeight="1">
      <c r="C333" s="244"/>
      <c r="D333" s="26"/>
      <c r="E333" s="26"/>
      <c r="F333" s="26"/>
      <c r="G333" s="26"/>
      <c r="H333" s="5"/>
    </row>
    <row r="334" spans="3:8" ht="14.25" customHeight="1">
      <c r="C334" s="244"/>
      <c r="D334" s="26"/>
      <c r="E334" s="26"/>
      <c r="F334" s="26"/>
      <c r="G334" s="26"/>
      <c r="H334" s="5"/>
    </row>
    <row r="335" spans="3:8" ht="14.25" customHeight="1">
      <c r="C335" s="244"/>
      <c r="D335" s="26"/>
      <c r="E335" s="26"/>
      <c r="F335" s="26"/>
      <c r="G335" s="26"/>
      <c r="H335" s="5"/>
    </row>
    <row r="336" spans="3:8" ht="14.25" customHeight="1">
      <c r="C336" s="244"/>
      <c r="D336" s="26"/>
      <c r="E336" s="26"/>
      <c r="F336" s="26"/>
      <c r="G336" s="26"/>
      <c r="H336" s="5"/>
    </row>
    <row r="337" spans="2:8" ht="14.25" customHeight="1">
      <c r="C337" s="244"/>
      <c r="D337" s="26"/>
      <c r="E337" s="26"/>
      <c r="F337" s="26"/>
      <c r="G337" s="26"/>
      <c r="H337" s="5"/>
    </row>
    <row r="338" spans="2:8" ht="14.25" customHeight="1">
      <c r="C338" s="244"/>
      <c r="D338" s="26"/>
      <c r="E338" s="26"/>
      <c r="F338" s="26"/>
      <c r="G338" s="26"/>
      <c r="H338" s="5"/>
    </row>
    <row r="339" spans="2:8" ht="14.25" customHeight="1">
      <c r="C339" s="244"/>
      <c r="D339" s="26"/>
      <c r="E339" s="26"/>
      <c r="F339" s="26"/>
      <c r="G339" s="26"/>
      <c r="H339" s="5"/>
    </row>
    <row r="340" spans="2:8" ht="14.25" customHeight="1">
      <c r="C340" s="244"/>
      <c r="D340" s="26"/>
      <c r="E340" s="26"/>
      <c r="F340" s="26"/>
      <c r="G340" s="26"/>
      <c r="H340" s="5"/>
    </row>
    <row r="341" spans="2:8" ht="14.25" customHeight="1">
      <c r="C341" s="244"/>
      <c r="D341" s="26"/>
      <c r="E341" s="26"/>
      <c r="F341" s="26"/>
      <c r="G341" s="26"/>
      <c r="H341" s="5"/>
    </row>
    <row r="342" spans="2:8" ht="14.25" customHeight="1">
      <c r="C342" s="244"/>
      <c r="D342" s="26"/>
      <c r="E342" s="26"/>
      <c r="F342" s="26"/>
      <c r="G342" s="26"/>
      <c r="H342" s="5"/>
    </row>
    <row r="343" spans="2:8" ht="14.25" customHeight="1">
      <c r="C343" s="244"/>
      <c r="D343" s="26"/>
      <c r="E343" s="26"/>
      <c r="F343" s="26"/>
      <c r="G343" s="26"/>
      <c r="H343" s="5"/>
    </row>
    <row r="344" spans="2:8" ht="14.25" customHeight="1">
      <c r="C344" s="244"/>
      <c r="D344" s="26"/>
      <c r="E344" s="26"/>
      <c r="F344" s="26"/>
      <c r="G344" s="26"/>
      <c r="H344" s="5"/>
    </row>
    <row r="345" spans="2:8" ht="14.25" customHeight="1">
      <c r="B345" s="38"/>
      <c r="C345" s="421"/>
      <c r="D345" s="39"/>
      <c r="E345" s="39"/>
      <c r="F345" s="39"/>
      <c r="G345" s="39"/>
      <c r="H345" s="5"/>
    </row>
    <row r="346" spans="2:8" ht="14.25" customHeight="1">
      <c r="C346" s="244"/>
      <c r="D346" s="26"/>
      <c r="E346" s="26"/>
      <c r="F346" s="26"/>
      <c r="G346" s="26"/>
      <c r="H346" s="5"/>
    </row>
    <row r="347" spans="2:8" ht="14.25" customHeight="1">
      <c r="C347" s="244"/>
      <c r="D347" s="26"/>
      <c r="E347" s="26"/>
      <c r="F347" s="26"/>
      <c r="G347" s="26"/>
      <c r="H347" s="5"/>
    </row>
    <row r="348" spans="2:8" ht="14.25" customHeight="1">
      <c r="C348" s="244"/>
      <c r="D348" s="26"/>
      <c r="E348" s="26"/>
      <c r="F348" s="26"/>
      <c r="G348" s="26"/>
      <c r="H348" s="5"/>
    </row>
    <row r="349" spans="2:8" ht="14.25" customHeight="1">
      <c r="C349" s="244"/>
      <c r="D349" s="26"/>
      <c r="E349" s="26"/>
      <c r="F349" s="26"/>
      <c r="G349" s="26"/>
      <c r="H349" s="5"/>
    </row>
    <row r="350" spans="2:8" ht="14.25" customHeight="1">
      <c r="C350" s="244"/>
      <c r="D350" s="26"/>
      <c r="E350" s="26"/>
      <c r="F350" s="26"/>
      <c r="G350" s="26"/>
      <c r="H350" s="5"/>
    </row>
    <row r="351" spans="2:8" ht="14.25" customHeight="1">
      <c r="C351" s="244"/>
      <c r="D351" s="26"/>
      <c r="E351" s="26"/>
      <c r="F351" s="26"/>
      <c r="G351" s="26"/>
      <c r="H351" s="5"/>
    </row>
    <row r="352" spans="2:8" ht="14.25" customHeight="1">
      <c r="C352" s="244"/>
      <c r="D352" s="26"/>
      <c r="E352" s="26"/>
      <c r="F352" s="26"/>
      <c r="G352" s="26"/>
      <c r="H352" s="5"/>
    </row>
    <row r="353" spans="1:46" ht="14.25" customHeight="1">
      <c r="C353" s="244"/>
      <c r="D353" s="26"/>
      <c r="E353" s="26"/>
      <c r="F353" s="26"/>
      <c r="G353" s="26"/>
      <c r="H353" s="5"/>
    </row>
    <row r="354" spans="1:46" ht="14.25" customHeight="1">
      <c r="C354" s="244"/>
      <c r="D354" s="26"/>
      <c r="E354" s="26"/>
      <c r="F354" s="26"/>
      <c r="G354" s="26"/>
      <c r="H354" s="5"/>
    </row>
    <row r="355" spans="1:46" ht="14.25" customHeight="1">
      <c r="C355" s="244"/>
      <c r="D355" s="26"/>
      <c r="E355" s="26"/>
      <c r="F355" s="26"/>
      <c r="G355" s="26"/>
      <c r="H355" s="5"/>
    </row>
    <row r="356" spans="1:46" ht="14.25" customHeight="1">
      <c r="C356" s="244"/>
      <c r="D356" s="26"/>
      <c r="E356" s="26"/>
      <c r="F356" s="26"/>
      <c r="G356" s="26"/>
      <c r="H356" s="5"/>
    </row>
    <row r="357" spans="1:46" ht="14.25" customHeight="1">
      <c r="C357" s="244"/>
      <c r="D357" s="26"/>
      <c r="E357" s="26"/>
      <c r="F357" s="26"/>
      <c r="G357" s="26"/>
      <c r="H357" s="5"/>
    </row>
    <row r="358" spans="1:46" ht="14.25" customHeight="1">
      <c r="C358" s="244"/>
      <c r="D358" s="26"/>
      <c r="E358" s="26"/>
      <c r="F358" s="26"/>
      <c r="G358" s="26"/>
      <c r="H358" s="5"/>
    </row>
    <row r="359" spans="1:46" ht="14.25" customHeight="1">
      <c r="C359" s="244"/>
      <c r="D359" s="26"/>
      <c r="E359" s="26"/>
      <c r="F359" s="26"/>
      <c r="G359" s="26"/>
      <c r="H359" s="5"/>
    </row>
    <row r="360" spans="1:46" ht="14.25" customHeight="1">
      <c r="C360" s="244"/>
      <c r="D360" s="26"/>
      <c r="E360" s="26"/>
      <c r="F360" s="26"/>
      <c r="G360" s="26"/>
      <c r="H360" s="5"/>
    </row>
    <row r="361" spans="1:46" ht="14.25" customHeight="1">
      <c r="C361" s="244"/>
      <c r="D361" s="26"/>
      <c r="E361" s="26"/>
      <c r="F361" s="26"/>
      <c r="G361" s="26"/>
      <c r="H361" s="5"/>
    </row>
    <row r="362" spans="1:46" ht="14.25" customHeight="1">
      <c r="C362" s="244"/>
      <c r="D362" s="26"/>
      <c r="E362" s="26"/>
      <c r="F362" s="26"/>
      <c r="G362" s="26"/>
      <c r="H362" s="5"/>
    </row>
    <row r="363" spans="1:46" ht="14.25" customHeight="1">
      <c r="C363" s="244"/>
      <c r="D363" s="26"/>
      <c r="E363" s="26"/>
      <c r="F363" s="26"/>
      <c r="G363" s="26"/>
      <c r="H363" s="5"/>
    </row>
    <row r="364" spans="1:46" s="8" customFormat="1">
      <c r="B364" s="550" t="str">
        <f>TITLE!$C$12</f>
        <v>Полотна каркасно-щитові: ІДЕЯ-ЛОФТ</v>
      </c>
      <c r="C364" s="550"/>
      <c r="D364" s="564"/>
      <c r="E364" s="564"/>
      <c r="F364" s="117"/>
      <c r="G364" s="117"/>
      <c r="H364" s="117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545" t="str">
        <f>IF($C$1="ENG",CONCATENATE("up to: ",B287),CONCATENATE("вгору до: ",B287))</f>
        <v>вгору до: Полотна каркасно-щитові: ІДЕЯ</v>
      </c>
      <c r="U364" s="545"/>
      <c r="V364" s="545"/>
      <c r="W364" s="545"/>
      <c r="AN364" s="279"/>
      <c r="AO364" s="279"/>
      <c r="AP364" s="279"/>
      <c r="AQ364" s="279"/>
      <c r="AR364" s="279"/>
      <c r="AS364" s="279"/>
      <c r="AT364" s="279"/>
    </row>
    <row r="365" spans="1:46" s="8" customFormat="1" ht="5.0999999999999996" customHeight="1">
      <c r="B365" s="116"/>
      <c r="C365" s="418"/>
      <c r="D365" s="9"/>
      <c r="E365" s="9"/>
      <c r="F365" s="10"/>
      <c r="G365" s="10"/>
      <c r="H365" s="10"/>
      <c r="T365" s="114"/>
      <c r="U365" s="114"/>
      <c r="V365" s="114"/>
      <c r="W365" s="114"/>
      <c r="AN365" s="279"/>
      <c r="AO365" s="279"/>
      <c r="AP365" s="279"/>
      <c r="AQ365" s="279"/>
      <c r="AR365" s="279"/>
      <c r="AS365" s="279"/>
      <c r="AT365" s="279"/>
    </row>
    <row r="366" spans="1:46" ht="12.75" customHeight="1">
      <c r="A366" s="8"/>
      <c r="B366" s="556" t="str">
        <f>IF($C$1="ENG","model","модель")</f>
        <v>модель</v>
      </c>
      <c r="C366" s="121" t="str">
        <f>IF($C$1="ENG","cover:","покриття:")</f>
        <v>покриття:</v>
      </c>
      <c r="D366" s="538" t="str">
        <f>IF($C$1="ENG","LOFT","LOFT")</f>
        <v>LOFT</v>
      </c>
      <c r="E366" s="539"/>
      <c r="F366" s="327"/>
      <c r="G366" s="142"/>
      <c r="H366" s="46"/>
      <c r="I366" s="46"/>
      <c r="J366" s="46"/>
      <c r="K366" s="46"/>
      <c r="L366" s="99"/>
      <c r="M366" s="11"/>
      <c r="P366" s="99"/>
      <c r="Q366" s="11"/>
    </row>
    <row r="367" spans="1:46" ht="12.75" customHeight="1">
      <c r="A367" s="8"/>
      <c r="B367" s="557"/>
      <c r="C367" s="122" t="str">
        <f>IF($C$1="ENG","filling:","заповнення:")</f>
        <v>заповнення:</v>
      </c>
      <c r="D367" s="540" t="str">
        <f>IF($C$1="ENG","honeycomb core ","сотове заповнення")</f>
        <v>сотове заповнення</v>
      </c>
      <c r="E367" s="541"/>
      <c r="F367" s="142"/>
      <c r="G367" s="142"/>
      <c r="H367" s="48"/>
      <c r="I367" s="48"/>
      <c r="J367" s="145"/>
      <c r="K367" s="145"/>
      <c r="L367" s="99"/>
      <c r="M367" s="11"/>
      <c r="P367" s="99"/>
      <c r="Q367" s="11"/>
    </row>
    <row r="368" spans="1:46" ht="12.75" customHeight="1">
      <c r="A368" s="8"/>
      <c r="B368" s="558"/>
      <c r="C368" s="123"/>
      <c r="D368" s="542"/>
      <c r="E368" s="543"/>
      <c r="F368" s="142"/>
      <c r="G368" s="142"/>
      <c r="H368" s="48"/>
      <c r="I368" s="48"/>
      <c r="J368" s="47"/>
      <c r="K368" s="130"/>
      <c r="L368" s="99"/>
      <c r="M368" s="11"/>
      <c r="P368" s="99"/>
      <c r="Q368" s="11"/>
    </row>
    <row r="369" spans="1:38" ht="35.1" customHeight="1">
      <c r="A369" s="8"/>
      <c r="B369" s="49" t="s">
        <v>23</v>
      </c>
      <c r="C369" s="326"/>
      <c r="D369" s="51">
        <f>IF(AC369="","",(1-$W$2)*(AC369/1.2))</f>
        <v>3225</v>
      </c>
      <c r="E369" s="84">
        <f>IF($W$5=0.2,D369*1.2,D369)/$W$4</f>
        <v>3870</v>
      </c>
      <c r="F369" s="142"/>
      <c r="G369" s="142"/>
      <c r="H369" s="48"/>
      <c r="I369" s="142"/>
      <c r="J369" s="28"/>
      <c r="K369" s="59"/>
      <c r="L369" s="141"/>
      <c r="M369" s="20"/>
      <c r="N369" s="103"/>
      <c r="O369" s="20"/>
      <c r="P369" s="141"/>
      <c r="Q369" s="20"/>
      <c r="R369" s="103"/>
      <c r="S369" s="20"/>
      <c r="T369" s="103"/>
      <c r="V369" s="103"/>
      <c r="W369" s="20"/>
      <c r="X369" s="22"/>
      <c r="Y369" s="22"/>
      <c r="Z369" s="22"/>
      <c r="AA369" s="22"/>
      <c r="AB369" s="22"/>
      <c r="AC369" s="331">
        <v>3870</v>
      </c>
      <c r="AD369" s="288">
        <v>3870</v>
      </c>
      <c r="AE369" s="288">
        <f t="shared" ref="AE369" si="39">AD369/AC369-1</f>
        <v>0</v>
      </c>
      <c r="AF369" s="288"/>
      <c r="AG369" s="288"/>
      <c r="AH369" s="288"/>
      <c r="AI369" s="288"/>
      <c r="AJ369" s="288"/>
      <c r="AK369" s="288"/>
      <c r="AL369" s="288"/>
    </row>
    <row r="370" spans="1:38">
      <c r="C370" s="244"/>
      <c r="D370" s="26"/>
      <c r="E370" s="57"/>
      <c r="F370" s="26"/>
      <c r="G370" s="57"/>
      <c r="H370" s="60"/>
      <c r="I370" s="142"/>
      <c r="J370" s="48"/>
      <c r="K370" s="142"/>
      <c r="L370" s="48"/>
      <c r="P370" s="48"/>
    </row>
    <row r="371" spans="1:38">
      <c r="B371" s="211" t="str">
        <f>IF($C$1="ENG","For additonal charge:","Послуги за додаткову плату:")</f>
        <v>Послуги за додаткову плату:</v>
      </c>
      <c r="C371" s="419"/>
      <c r="D371" s="212"/>
      <c r="E371" s="213"/>
      <c r="F371" s="26"/>
      <c r="G371" s="26"/>
      <c r="H371" s="10"/>
      <c r="I371" s="83"/>
      <c r="K371" s="20"/>
    </row>
    <row r="372" spans="1:38" ht="5.0999999999999996" customHeight="1">
      <c r="B372" s="27"/>
      <c r="C372" s="244"/>
      <c r="D372" s="26"/>
      <c r="E372" s="57"/>
      <c r="F372" s="26"/>
      <c r="G372" s="26"/>
      <c r="H372" s="10"/>
      <c r="I372" s="8"/>
      <c r="K372" s="20"/>
    </row>
    <row r="373" spans="1:38">
      <c r="B373" s="561" t="str">
        <f>IF($C$1="ENG","Ventilation sleeves (1 row)","вентиляційні віддушини (1ряд)")</f>
        <v>вентиляційні віддушини (1ряд)</v>
      </c>
      <c r="C373" s="562"/>
      <c r="D373" s="408">
        <f>IF(AC373="","",(1-$W$2)*(AC373/1.2))</f>
        <v>208.33333333333334</v>
      </c>
      <c r="E373" s="64">
        <f>IF($W$5=0.2,D373*1.2,D373)/$W$4</f>
        <v>250</v>
      </c>
      <c r="F373" s="26"/>
      <c r="G373" s="26"/>
      <c r="AC373" s="297">
        <v>250</v>
      </c>
      <c r="AD373" s="288">
        <v>250</v>
      </c>
      <c r="AE373" s="288">
        <f>AD373/AC373-1</f>
        <v>0</v>
      </c>
      <c r="AF373" s="288"/>
      <c r="AG373" s="288"/>
      <c r="AH373" s="288"/>
      <c r="AI373" s="288"/>
      <c r="AJ373" s="288"/>
      <c r="AK373" s="288"/>
      <c r="AL373" s="288"/>
    </row>
    <row r="374" spans="1:38">
      <c r="B374" s="561" t="str">
        <f>IF($C$1="ENG","Ventilation cut","вентиляційний підріз")</f>
        <v>вентиляційний підріз</v>
      </c>
      <c r="C374" s="562"/>
      <c r="D374" s="403">
        <f>IF(AC374="","",(1-$W$2)*(AC374/1.2))</f>
        <v>141.66666666666669</v>
      </c>
      <c r="E374" s="66">
        <f>IF($W$5=0.2,D374*1.2,D374)/$W$4</f>
        <v>170.00000000000003</v>
      </c>
      <c r="F374" s="26"/>
      <c r="G374" s="26"/>
      <c r="I374" s="59"/>
      <c r="J374" s="28"/>
      <c r="AC374" s="297">
        <v>170</v>
      </c>
      <c r="AD374" s="288">
        <v>170</v>
      </c>
      <c r="AE374" s="288">
        <f t="shared" ref="AE374:AE385" si="40">AD374/AC374-1</f>
        <v>0</v>
      </c>
      <c r="AF374" s="288"/>
      <c r="AG374" s="288"/>
      <c r="AH374" s="288"/>
      <c r="AI374" s="288"/>
      <c r="AJ374" s="288"/>
      <c r="AK374" s="288"/>
      <c r="AL374" s="288"/>
    </row>
    <row r="375" spans="1:38">
      <c r="B375" s="561" t="str">
        <f>IF($C$1="ENG","third door hindge","третя завіса")</f>
        <v>третя завіса</v>
      </c>
      <c r="C375" s="562"/>
      <c r="D375" s="403">
        <f>IF(AC375="","",(1-$W$2)*(AC375/1.2))</f>
        <v>66.666666666666671</v>
      </c>
      <c r="E375" s="66">
        <f>IF($W$5=0.2,D375*1.2,D375)/$W$4</f>
        <v>80</v>
      </c>
      <c r="F375" s="26"/>
      <c r="G375" s="26"/>
      <c r="AC375" s="297">
        <v>80</v>
      </c>
      <c r="AD375" s="288">
        <v>80</v>
      </c>
      <c r="AE375" s="288">
        <f t="shared" si="40"/>
        <v>0</v>
      </c>
      <c r="AF375" s="288"/>
      <c r="AG375" s="288"/>
      <c r="AH375" s="288"/>
      <c r="AI375" s="288"/>
      <c r="AJ375" s="288"/>
      <c r="AK375" s="288"/>
      <c r="AL375" s="288"/>
    </row>
    <row r="376" spans="1:38">
      <c r="B376" s="554" t="str">
        <f>IF($C$1="ENG","door lock Soft","замок Soft")</f>
        <v>замок Soft</v>
      </c>
      <c r="C376" s="555"/>
      <c r="D376" s="405">
        <f t="shared" ref="D376:D385" si="41">IF(AC376="","",(1-$W$2)*(AC376/1.2))</f>
        <v>458.33333333333337</v>
      </c>
      <c r="E376" s="92">
        <f t="shared" ref="E376:E383" si="42">IF($W$5=0.2,D376*1.2,D376)/$W$4</f>
        <v>550</v>
      </c>
      <c r="F376" s="26"/>
      <c r="G376" s="26"/>
      <c r="H376" s="5"/>
      <c r="AC376" s="297">
        <v>550</v>
      </c>
      <c r="AD376" s="288">
        <v>550</v>
      </c>
      <c r="AE376" s="288">
        <f t="shared" si="40"/>
        <v>0</v>
      </c>
      <c r="AF376" s="288"/>
      <c r="AG376" s="288"/>
      <c r="AH376" s="288"/>
      <c r="AI376" s="288"/>
      <c r="AJ376" s="288"/>
      <c r="AK376" s="288"/>
      <c r="AL376" s="288"/>
    </row>
    <row r="377" spans="1:38">
      <c r="B377" s="554" t="str">
        <f>IF($C$1="ENG","door lock Soft black","замок Soft чорн.")</f>
        <v>замок Soft чорн.</v>
      </c>
      <c r="C377" s="555"/>
      <c r="D377" s="405">
        <f t="shared" ref="D377" si="43">IF(AC377="","",(1-$W$2)*(AC377/1.2))</f>
        <v>566.66666666666674</v>
      </c>
      <c r="E377" s="92">
        <f t="shared" ref="E377" si="44">IF($W$5=0.2,D377*1.2,D377)/$W$4</f>
        <v>680.00000000000011</v>
      </c>
      <c r="F377" s="26"/>
      <c r="G377" s="26"/>
      <c r="H377" s="5"/>
      <c r="AC377" s="297">
        <v>680</v>
      </c>
      <c r="AD377" s="288"/>
      <c r="AE377" s="288"/>
      <c r="AF377" s="288"/>
      <c r="AG377" s="288"/>
      <c r="AH377" s="288"/>
      <c r="AI377" s="288"/>
      <c r="AJ377" s="288"/>
      <c r="AK377" s="288"/>
      <c r="AL377" s="288"/>
    </row>
    <row r="378" spans="1:38">
      <c r="B378" s="554" t="str">
        <f>IF($C$1="ENG","door lock Magnet","замок Magnet")</f>
        <v>замок Magnet</v>
      </c>
      <c r="C378" s="555"/>
      <c r="D378" s="405">
        <f t="shared" si="41"/>
        <v>666.66666666666674</v>
      </c>
      <c r="E378" s="92">
        <f t="shared" si="42"/>
        <v>800.00000000000011</v>
      </c>
      <c r="F378" s="26"/>
      <c r="G378" s="26"/>
      <c r="H378" s="5"/>
      <c r="AC378" s="297">
        <v>800</v>
      </c>
      <c r="AD378" s="288">
        <v>800</v>
      </c>
      <c r="AE378" s="288">
        <f t="shared" si="40"/>
        <v>0</v>
      </c>
      <c r="AF378" s="288"/>
      <c r="AG378" s="288"/>
      <c r="AH378" s="288"/>
      <c r="AI378" s="288"/>
      <c r="AJ378" s="288"/>
      <c r="AK378" s="288"/>
      <c r="AL378" s="288"/>
    </row>
    <row r="379" spans="1:38">
      <c r="B379" s="554" t="s">
        <v>66</v>
      </c>
      <c r="C379" s="555"/>
      <c r="D379" s="405">
        <f t="shared" ref="D379" si="45">IF(AC379="","",(1-$W$2)*(AC379/1.2))</f>
        <v>833.33333333333337</v>
      </c>
      <c r="E379" s="92">
        <f t="shared" ref="E379" si="46">IF($W$5=0.2,D379*1.2,D379)/$W$4</f>
        <v>1000</v>
      </c>
      <c r="F379" s="26"/>
      <c r="G379" s="26"/>
      <c r="H379" s="5"/>
      <c r="AC379" s="297">
        <v>1000</v>
      </c>
      <c r="AD379" s="288"/>
      <c r="AE379" s="288"/>
      <c r="AF379" s="288"/>
      <c r="AG379" s="288"/>
      <c r="AH379" s="288"/>
      <c r="AI379" s="288"/>
      <c r="AJ379" s="288"/>
      <c r="AK379" s="288"/>
      <c r="AL379" s="288"/>
    </row>
    <row r="380" spans="1:38">
      <c r="B380" s="554" t="str">
        <f>IF($C$1="ENG","door handle-lock (for sliding doors)","ручка-замок (для дверей купе)")</f>
        <v>ручка-замок (для дверей купе)</v>
      </c>
      <c r="C380" s="555"/>
      <c r="D380" s="403">
        <f t="shared" si="41"/>
        <v>466.66666666666669</v>
      </c>
      <c r="E380" s="66">
        <f t="shared" si="42"/>
        <v>560</v>
      </c>
      <c r="F380" s="26"/>
      <c r="G380" s="26"/>
      <c r="I380" s="30"/>
      <c r="K380" s="30"/>
      <c r="AC380" s="297">
        <v>560</v>
      </c>
      <c r="AD380" s="288">
        <v>560</v>
      </c>
      <c r="AE380" s="288">
        <f t="shared" si="40"/>
        <v>0</v>
      </c>
      <c r="AF380" s="288"/>
      <c r="AG380" s="288"/>
      <c r="AH380" s="288"/>
      <c r="AI380" s="288"/>
      <c r="AJ380" s="288"/>
      <c r="AK380" s="288"/>
      <c r="AL380" s="288"/>
    </row>
    <row r="381" spans="1:38">
      <c r="B381" s="554" t="str">
        <f>IF($C$1="ENG","cylinder incert","циліндр несиметричний")</f>
        <v>циліндр несиметричний</v>
      </c>
      <c r="C381" s="555"/>
      <c r="D381" s="403">
        <f t="shared" si="41"/>
        <v>325</v>
      </c>
      <c r="E381" s="66">
        <f t="shared" si="42"/>
        <v>390</v>
      </c>
      <c r="F381" s="26"/>
      <c r="G381" s="26"/>
      <c r="AC381" s="297">
        <v>390</v>
      </c>
      <c r="AD381" s="288">
        <v>390</v>
      </c>
      <c r="AE381" s="288">
        <f t="shared" si="40"/>
        <v>0</v>
      </c>
      <c r="AF381" s="288"/>
      <c r="AG381" s="288"/>
      <c r="AH381" s="288"/>
      <c r="AI381" s="288"/>
      <c r="AJ381" s="288"/>
      <c r="AK381" s="288"/>
      <c r="AL381" s="288"/>
    </row>
    <row r="382" spans="1:38">
      <c r="B382" s="554" t="str">
        <f>IF($C$1="ENG","door hindge Prestige (1 unit)","завіса Prestige (1 шт)")</f>
        <v>завіса Prestige (1 шт)</v>
      </c>
      <c r="C382" s="555"/>
      <c r="D382" s="406">
        <f t="shared" si="41"/>
        <v>216.66666666666669</v>
      </c>
      <c r="E382" s="66">
        <f t="shared" si="42"/>
        <v>260</v>
      </c>
      <c r="F382" s="26"/>
      <c r="G382" s="26"/>
      <c r="AC382" s="297">
        <v>260</v>
      </c>
      <c r="AD382" s="288">
        <v>260</v>
      </c>
      <c r="AE382" s="288">
        <f t="shared" si="40"/>
        <v>0</v>
      </c>
      <c r="AF382" s="288"/>
      <c r="AG382" s="288"/>
      <c r="AH382" s="288"/>
      <c r="AI382" s="288"/>
      <c r="AJ382" s="288"/>
      <c r="AK382" s="288"/>
      <c r="AL382" s="288"/>
    </row>
    <row r="383" spans="1:38">
      <c r="B383" s="554" t="str">
        <f>IF($C$1="ENG","door hinge caps (1 set)","накладка на завіси (1 к-т)")</f>
        <v>накладка на завіси (1 к-т)</v>
      </c>
      <c r="C383" s="555"/>
      <c r="D383" s="406">
        <f t="shared" si="41"/>
        <v>66.666666666666671</v>
      </c>
      <c r="E383" s="66">
        <f t="shared" si="42"/>
        <v>80</v>
      </c>
      <c r="F383" s="26"/>
      <c r="G383" s="26"/>
      <c r="AC383" s="297">
        <v>80</v>
      </c>
      <c r="AD383" s="288">
        <v>80</v>
      </c>
      <c r="AE383" s="288">
        <f t="shared" si="40"/>
        <v>0</v>
      </c>
      <c r="AF383" s="288"/>
      <c r="AG383" s="288"/>
      <c r="AH383" s="288"/>
      <c r="AI383" s="288"/>
      <c r="AJ383" s="288"/>
      <c r="AK383" s="288"/>
      <c r="AL383" s="288"/>
    </row>
    <row r="384" spans="1:38">
      <c r="B384" s="554" t="str">
        <f>IF($C$1="ENG","door handle","дверна ручка")</f>
        <v>дверна ручка</v>
      </c>
      <c r="C384" s="555"/>
      <c r="D384" s="403">
        <f t="shared" si="41"/>
        <v>0</v>
      </c>
      <c r="E384" s="135" t="str">
        <f>IF($C$1="ENG","see Handles Price","див. Таблицю Ручки")</f>
        <v>див. Таблицю Ручки</v>
      </c>
      <c r="F384" s="26"/>
      <c r="G384" s="26"/>
      <c r="AC384" s="297">
        <v>0</v>
      </c>
      <c r="AD384" s="288">
        <f t="shared" ref="AD384" si="47">AC384/100*13+AC384</f>
        <v>0</v>
      </c>
      <c r="AE384" s="288" t="e">
        <f t="shared" si="40"/>
        <v>#DIV/0!</v>
      </c>
      <c r="AF384" s="288"/>
      <c r="AG384" s="288"/>
      <c r="AH384" s="288"/>
      <c r="AI384" s="288"/>
      <c r="AJ384" s="288"/>
      <c r="AK384" s="288"/>
      <c r="AL384" s="288"/>
    </row>
    <row r="385" spans="2:38">
      <c r="B385" s="554" t="str">
        <f>IF($C$1="ENG","perforated chipboard","ДСП трубчасте")</f>
        <v>ДСП трубчасте</v>
      </c>
      <c r="C385" s="555"/>
      <c r="D385" s="407">
        <f t="shared" si="41"/>
        <v>1083.3333333333335</v>
      </c>
      <c r="E385" s="69">
        <f>IF($W$5=0.2,D385*1.2,D385)/$W$4</f>
        <v>1300.0000000000002</v>
      </c>
      <c r="F385" s="26"/>
      <c r="G385" s="26"/>
      <c r="AC385" s="297">
        <v>1300</v>
      </c>
      <c r="AD385" s="288">
        <v>1300</v>
      </c>
      <c r="AE385" s="288">
        <f t="shared" si="40"/>
        <v>0</v>
      </c>
      <c r="AF385" s="288"/>
      <c r="AG385" s="288"/>
      <c r="AH385" s="288"/>
      <c r="AI385" s="288"/>
      <c r="AJ385" s="288"/>
      <c r="AK385" s="288"/>
      <c r="AL385" s="288"/>
    </row>
    <row r="386" spans="2:38" ht="14.25" customHeight="1">
      <c r="C386" s="244"/>
      <c r="D386" s="26"/>
      <c r="E386" s="26"/>
      <c r="F386" s="26"/>
      <c r="G386" s="26"/>
      <c r="H386" s="5"/>
      <c r="T386" s="571" t="str">
        <f>IF($C$1="ENG",CONCATENATE("down to: ",B682),CONCATENATE("вниз до: ",B682))</f>
        <v>вниз до: Полотна збірні: ЛАДА A</v>
      </c>
      <c r="U386" s="571"/>
      <c r="V386" s="571"/>
      <c r="W386" s="571"/>
    </row>
    <row r="387" spans="2:38" ht="14.25" customHeight="1">
      <c r="C387" s="244"/>
      <c r="D387" s="26"/>
      <c r="E387" s="26"/>
      <c r="F387" s="26"/>
      <c r="G387" s="26"/>
      <c r="H387" s="5"/>
    </row>
    <row r="388" spans="2:38" ht="14.25" customHeight="1">
      <c r="C388" s="244"/>
      <c r="D388" s="26"/>
      <c r="E388" s="26"/>
      <c r="F388" s="26"/>
      <c r="G388" s="26"/>
      <c r="H388" s="5"/>
    </row>
    <row r="389" spans="2:38" ht="14.25" customHeight="1">
      <c r="C389" s="244"/>
      <c r="D389" s="26"/>
      <c r="E389" s="26"/>
      <c r="F389" s="26"/>
      <c r="G389" s="26"/>
      <c r="H389" s="5"/>
    </row>
    <row r="390" spans="2:38" ht="14.25" customHeight="1">
      <c r="C390" s="244"/>
      <c r="D390" s="26"/>
      <c r="E390" s="26"/>
      <c r="F390" s="26"/>
      <c r="G390" s="26"/>
      <c r="H390" s="5"/>
    </row>
    <row r="391" spans="2:38" ht="14.25" customHeight="1">
      <c r="C391" s="244"/>
      <c r="D391" s="26"/>
      <c r="E391" s="26"/>
      <c r="F391" s="26"/>
      <c r="G391" s="26"/>
      <c r="H391" s="5"/>
    </row>
    <row r="392" spans="2:38" ht="14.25" customHeight="1">
      <c r="C392" s="244"/>
      <c r="D392" s="26"/>
      <c r="E392" s="26"/>
      <c r="F392" s="26"/>
      <c r="G392" s="26"/>
      <c r="H392" s="5"/>
    </row>
    <row r="393" spans="2:38" ht="14.25" customHeight="1">
      <c r="C393" s="244"/>
      <c r="D393" s="26"/>
      <c r="E393" s="26"/>
      <c r="F393" s="26"/>
      <c r="G393" s="26"/>
      <c r="H393" s="5"/>
    </row>
    <row r="394" spans="2:38" ht="14.25" customHeight="1">
      <c r="C394" s="244"/>
      <c r="D394" s="26"/>
      <c r="E394" s="26"/>
      <c r="F394" s="26"/>
      <c r="G394" s="26"/>
      <c r="H394" s="5"/>
    </row>
    <row r="395" spans="2:38" ht="14.25" customHeight="1">
      <c r="C395" s="244"/>
      <c r="D395" s="26"/>
      <c r="E395" s="26"/>
      <c r="F395" s="26"/>
      <c r="G395" s="26"/>
      <c r="H395" s="5"/>
    </row>
    <row r="396" spans="2:38" ht="14.25" customHeight="1">
      <c r="C396" s="244"/>
      <c r="D396" s="26"/>
      <c r="E396" s="26"/>
      <c r="F396" s="26"/>
      <c r="G396" s="26"/>
      <c r="H396" s="5"/>
    </row>
    <row r="397" spans="2:38" ht="14.25" customHeight="1">
      <c r="C397" s="244"/>
      <c r="D397" s="26"/>
      <c r="E397" s="26"/>
      <c r="F397" s="26"/>
      <c r="G397" s="26"/>
      <c r="H397" s="5"/>
    </row>
    <row r="398" spans="2:38" ht="14.25" customHeight="1">
      <c r="C398" s="244"/>
      <c r="D398" s="26"/>
      <c r="E398" s="26"/>
      <c r="F398" s="26"/>
      <c r="G398" s="26"/>
      <c r="H398" s="5"/>
    </row>
    <row r="399" spans="2:38" ht="14.25" customHeight="1">
      <c r="C399" s="244"/>
      <c r="D399" s="26"/>
      <c r="E399" s="26"/>
      <c r="F399" s="26"/>
      <c r="G399" s="26"/>
      <c r="H399" s="5"/>
    </row>
    <row r="400" spans="2:38" ht="14.25" customHeight="1">
      <c r="C400" s="244"/>
      <c r="D400" s="26"/>
      <c r="E400" s="26"/>
      <c r="F400" s="26"/>
      <c r="G400" s="26"/>
      <c r="H400" s="5"/>
    </row>
    <row r="401" spans="2:24" ht="14.25" customHeight="1">
      <c r="C401" s="244"/>
      <c r="D401" s="26"/>
      <c r="E401" s="26"/>
      <c r="F401" s="26"/>
      <c r="G401" s="26"/>
      <c r="H401" s="5"/>
    </row>
    <row r="402" spans="2:24" ht="14.25" customHeight="1">
      <c r="C402" s="244"/>
      <c r="D402" s="26"/>
      <c r="E402" s="26"/>
      <c r="F402" s="26"/>
      <c r="G402" s="26"/>
      <c r="H402" s="5"/>
    </row>
    <row r="403" spans="2:24" ht="14.25" customHeight="1">
      <c r="C403" s="244"/>
      <c r="D403" s="26"/>
      <c r="E403" s="26"/>
      <c r="F403" s="26"/>
      <c r="G403" s="26"/>
      <c r="H403" s="5"/>
    </row>
    <row r="404" spans="2:24" ht="14.25" customHeight="1">
      <c r="C404" s="244"/>
      <c r="D404" s="26"/>
      <c r="E404" s="26"/>
      <c r="F404" s="26"/>
      <c r="G404" s="26"/>
      <c r="H404" s="5"/>
    </row>
    <row r="405" spans="2:24" ht="14.25" customHeight="1">
      <c r="C405" s="244"/>
      <c r="D405" s="26"/>
      <c r="E405" s="26"/>
      <c r="F405" s="26"/>
      <c r="G405" s="26"/>
      <c r="H405" s="5"/>
    </row>
    <row r="406" spans="2:24" ht="14.25" customHeight="1">
      <c r="C406" s="244"/>
      <c r="D406" s="26"/>
      <c r="E406" s="26"/>
      <c r="F406" s="26"/>
      <c r="G406" s="26"/>
      <c r="H406" s="5"/>
    </row>
    <row r="407" spans="2:24" ht="14.25" customHeight="1">
      <c r="C407" s="244"/>
      <c r="D407" s="26"/>
      <c r="E407" s="26"/>
      <c r="F407" s="26"/>
      <c r="G407" s="26"/>
      <c r="H407" s="5"/>
    </row>
    <row r="408" spans="2:24" ht="14.25" customHeight="1">
      <c r="C408" s="244"/>
      <c r="D408" s="26"/>
      <c r="E408" s="26"/>
      <c r="F408" s="26"/>
      <c r="G408" s="26"/>
      <c r="H408" s="5"/>
    </row>
    <row r="409" spans="2:24" ht="14.25" customHeight="1">
      <c r="C409" s="244"/>
      <c r="D409" s="26"/>
      <c r="E409" s="26"/>
      <c r="F409" s="26"/>
      <c r="G409" s="26"/>
      <c r="H409" s="5"/>
    </row>
    <row r="410" spans="2:24" ht="14.25" customHeight="1">
      <c r="C410" s="244"/>
      <c r="D410" s="26"/>
      <c r="E410" s="26"/>
      <c r="F410" s="26"/>
      <c r="G410" s="26"/>
      <c r="H410" s="5"/>
    </row>
    <row r="411" spans="2:24" ht="14.25" customHeight="1">
      <c r="C411" s="244"/>
      <c r="D411" s="26"/>
      <c r="E411" s="26"/>
      <c r="F411" s="26"/>
      <c r="G411" s="26"/>
      <c r="H411" s="5"/>
    </row>
    <row r="412" spans="2:24" ht="14.25" customHeight="1">
      <c r="B412" s="550" t="str">
        <f>TITLE!C13</f>
        <v>Полотна каркасно-щитові: ІДЕЯ-АЛЮМ</v>
      </c>
      <c r="C412" s="550"/>
      <c r="D412" s="564"/>
      <c r="E412" s="564"/>
      <c r="F412" s="117"/>
      <c r="G412" s="117"/>
      <c r="H412" s="117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545" t="str">
        <f>IF($C$1="ENG",CONCATENATE("up to: ",B335),CONCATENATE("вгору до: ",B335))</f>
        <v xml:space="preserve">вгору до: </v>
      </c>
      <c r="U412" s="545"/>
      <c r="V412" s="545"/>
      <c r="W412" s="545"/>
      <c r="X412" s="8"/>
    </row>
    <row r="413" spans="2:24" ht="14.25" customHeight="1">
      <c r="B413" s="116"/>
      <c r="C413" s="418"/>
      <c r="D413" s="9"/>
      <c r="E413" s="9"/>
      <c r="F413" s="10"/>
      <c r="G413" s="10"/>
      <c r="H413" s="10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480"/>
      <c r="U413" s="480"/>
      <c r="V413" s="480"/>
      <c r="W413" s="480"/>
      <c r="X413" s="8"/>
    </row>
    <row r="414" spans="2:24" ht="14.25" customHeight="1">
      <c r="B414" s="556" t="str">
        <f>IF($C$1="ENG","model","модель")</f>
        <v>модель</v>
      </c>
      <c r="C414" s="121" t="str">
        <f>IF($C$1="ENG","cover:","покриття:")</f>
        <v>покриття:</v>
      </c>
      <c r="D414" s="538" t="str">
        <f>IF($C$1="ENG","SIMPL / V-CELL","SIMPL / V-CELL")</f>
        <v>SIMPL / V-CELL</v>
      </c>
      <c r="E414" s="539"/>
      <c r="F414" s="538" t="str">
        <f>IF($C$1="ENG","UNI-MAT","UNI-MAT")</f>
        <v>UNI-MAT</v>
      </c>
      <c r="G414" s="539"/>
      <c r="H414" s="538" t="str">
        <f>IF($C$1="ENG","RESIST","RESIST")</f>
        <v>RESIST</v>
      </c>
      <c r="I414" s="539"/>
      <c r="J414" s="46"/>
      <c r="K414" s="46"/>
      <c r="L414" s="99"/>
      <c r="M414" s="11"/>
      <c r="P414" s="99"/>
      <c r="Q414" s="11"/>
    </row>
    <row r="415" spans="2:24" ht="14.25" customHeight="1">
      <c r="B415" s="557"/>
      <c r="C415" s="122" t="str">
        <f>IF($C$1="ENG","filling:","заповнення:")</f>
        <v>заповнення:</v>
      </c>
      <c r="D415" s="540" t="str">
        <f>IF($C$1="ENG","honeycomb core ","сотове заповнення")</f>
        <v>сотове заповнення</v>
      </c>
      <c r="E415" s="541"/>
      <c r="F415" s="540" t="str">
        <f>IF($C$1="ENG","honeycomb core ","сотове заповнення")</f>
        <v>сотове заповнення</v>
      </c>
      <c r="G415" s="541"/>
      <c r="H415" s="540" t="str">
        <f>IF($C$1="ENG","honeycomb core ","сотове заповнення")</f>
        <v>сотове заповнення</v>
      </c>
      <c r="I415" s="541"/>
      <c r="J415" s="145"/>
      <c r="K415" s="145"/>
      <c r="L415" s="99"/>
      <c r="M415" s="11"/>
      <c r="P415" s="99"/>
      <c r="Q415" s="11"/>
    </row>
    <row r="416" spans="2:24" ht="14.25" customHeight="1">
      <c r="B416" s="558"/>
      <c r="C416" s="123" t="str">
        <f>IF($C$1="ENG","glazing:","скління:")</f>
        <v>скління:</v>
      </c>
      <c r="D416" s="542"/>
      <c r="E416" s="543"/>
      <c r="F416" s="542"/>
      <c r="G416" s="543"/>
      <c r="H416" s="542"/>
      <c r="I416" s="543"/>
      <c r="J416" s="47"/>
      <c r="K416" s="130"/>
      <c r="L416" s="99"/>
      <c r="M416" s="11"/>
      <c r="P416" s="99"/>
      <c r="Q416" s="11"/>
    </row>
    <row r="417" spans="2:38" ht="52.5" customHeight="1">
      <c r="B417" s="149">
        <v>1</v>
      </c>
      <c r="C417" s="326"/>
      <c r="D417" s="481">
        <f>IF(AC417="","",(1-$W$2)*(AC417/1.2))</f>
        <v>3741.666666666667</v>
      </c>
      <c r="E417" s="482">
        <f>IF($W$5=0.2,D417*1.2,D417)/$W$4</f>
        <v>4490</v>
      </c>
      <c r="F417" s="482">
        <f>IF(AD417="","",(1-$W$2)*(AD417/1.2))</f>
        <v>4050</v>
      </c>
      <c r="G417" s="482">
        <f>IF($W$5=0.2,F417*1.2,F417)/$W$4</f>
        <v>4860</v>
      </c>
      <c r="H417" s="482">
        <f>IF(AE417="","",(1-$W$2)*(AE417/1.2))</f>
        <v>4308.3333333333339</v>
      </c>
      <c r="I417" s="482">
        <f>IF($W$5=0.2,H417*1.2,H417)/$W$4</f>
        <v>5170.0000000000009</v>
      </c>
      <c r="J417" s="28"/>
      <c r="K417" s="59"/>
      <c r="L417" s="141"/>
      <c r="M417" s="20"/>
      <c r="N417" s="103"/>
      <c r="O417" s="20"/>
      <c r="P417" s="141"/>
      <c r="Q417" s="20"/>
      <c r="R417" s="103"/>
      <c r="S417" s="20"/>
      <c r="T417" s="103"/>
      <c r="V417" s="103"/>
      <c r="W417" s="20"/>
      <c r="X417" s="22"/>
      <c r="AC417" s="331">
        <f>2490+2000</f>
        <v>4490</v>
      </c>
      <c r="AD417" s="331">
        <f>2860+2000</f>
        <v>4860</v>
      </c>
      <c r="AE417" s="331">
        <f>3170+2000</f>
        <v>5170</v>
      </c>
      <c r="AF417" s="288"/>
      <c r="AG417" s="288"/>
      <c r="AH417" s="288"/>
      <c r="AI417" s="288"/>
      <c r="AJ417" s="288"/>
      <c r="AK417" s="288"/>
      <c r="AL417" s="288"/>
    </row>
    <row r="418" spans="2:38" ht="52.5" customHeight="1">
      <c r="B418" s="149">
        <v>2</v>
      </c>
      <c r="C418" s="326"/>
      <c r="D418" s="481">
        <f>IF(AC418="","",(1-$W$2)*(AC418/1.2))</f>
        <v>4075</v>
      </c>
      <c r="E418" s="482">
        <f>IF($W$5=0.2,D418*1.2,D418)/$W$4</f>
        <v>4890</v>
      </c>
      <c r="F418" s="482">
        <f>IF(AD418="","",(1-$W$2)*(AD418/1.2))</f>
        <v>4383.3333333333339</v>
      </c>
      <c r="G418" s="482">
        <f>IF($W$5=0.2,F418*1.2,F418)/$W$4</f>
        <v>5260.0000000000009</v>
      </c>
      <c r="H418" s="482">
        <f>IF(AE418="","",(1-$W$2)*(AE418/1.2))</f>
        <v>4641.666666666667</v>
      </c>
      <c r="I418" s="482">
        <f>IF($W$5=0.2,H418*1.2,H418)/$W$4</f>
        <v>5570</v>
      </c>
      <c r="J418" s="28"/>
      <c r="K418" s="59"/>
      <c r="L418" s="141"/>
      <c r="M418" s="20"/>
      <c r="N418" s="103"/>
      <c r="O418" s="20"/>
      <c r="P418" s="141"/>
      <c r="Q418" s="20"/>
      <c r="R418" s="103"/>
      <c r="S418" s="20"/>
      <c r="T418" s="103"/>
      <c r="V418" s="103"/>
      <c r="W418" s="20"/>
      <c r="X418" s="22"/>
      <c r="AC418" s="331">
        <f>2490+2400</f>
        <v>4890</v>
      </c>
      <c r="AD418" s="331">
        <f>2860+2400</f>
        <v>5260</v>
      </c>
      <c r="AE418" s="331">
        <f>3170+2400</f>
        <v>5570</v>
      </c>
      <c r="AF418" s="288"/>
      <c r="AG418" s="288"/>
      <c r="AH418" s="288"/>
      <c r="AI418" s="288"/>
      <c r="AJ418" s="288"/>
      <c r="AK418" s="288"/>
      <c r="AL418" s="288"/>
    </row>
    <row r="419" spans="2:38" ht="14.25" customHeight="1">
      <c r="C419" s="244"/>
      <c r="D419" s="26"/>
      <c r="E419" s="57"/>
      <c r="F419" s="26"/>
      <c r="G419" s="57"/>
      <c r="H419" s="60"/>
      <c r="I419" s="142"/>
      <c r="J419" s="48"/>
      <c r="K419" s="142"/>
      <c r="L419" s="48"/>
      <c r="P419" s="48"/>
    </row>
    <row r="420" spans="2:38" ht="14.25" customHeight="1">
      <c r="B420" s="211" t="str">
        <f>IF($C$1="ENG","For additonal charge:","Послуги за додаткову плату:")</f>
        <v>Послуги за додаткову плату:</v>
      </c>
      <c r="C420" s="419"/>
      <c r="D420" s="212"/>
      <c r="E420" s="213"/>
      <c r="F420" s="26"/>
      <c r="G420" s="26"/>
      <c r="H420" s="10"/>
      <c r="I420" s="83"/>
      <c r="K420" s="20"/>
    </row>
    <row r="421" spans="2:38" ht="14.25" customHeight="1">
      <c r="B421" s="27"/>
      <c r="C421" s="244"/>
      <c r="D421" s="26"/>
      <c r="E421" s="57"/>
      <c r="F421" s="26"/>
      <c r="G421" s="26"/>
      <c r="H421" s="10"/>
      <c r="I421" s="8"/>
      <c r="K421" s="20"/>
    </row>
    <row r="422" spans="2:38" ht="14.25" customHeight="1">
      <c r="B422" s="561" t="str">
        <f>IF($C$1="ENG","Ventilation sleeves (1 row)","вентиляційні віддушини (1ряд)")</f>
        <v>вентиляційні віддушини (1ряд)</v>
      </c>
      <c r="C422" s="562"/>
      <c r="D422" s="408">
        <f>IF(AC422="","",(1-$W$2)*(AC422/1.2))</f>
        <v>208.33333333333334</v>
      </c>
      <c r="E422" s="64">
        <f>IF($W$5=0.2,D422*1.2,D422)/$W$4</f>
        <v>250</v>
      </c>
      <c r="F422" s="26"/>
      <c r="G422" s="26"/>
      <c r="AC422" s="297">
        <v>250</v>
      </c>
      <c r="AD422" s="288">
        <v>250</v>
      </c>
      <c r="AE422" s="288">
        <f>AD422/AC422-1</f>
        <v>0</v>
      </c>
      <c r="AF422" s="288"/>
      <c r="AG422" s="288"/>
      <c r="AH422" s="288"/>
      <c r="AI422" s="288"/>
      <c r="AJ422" s="288"/>
      <c r="AK422" s="288"/>
      <c r="AL422" s="288"/>
    </row>
    <row r="423" spans="2:38" ht="14.25" customHeight="1">
      <c r="B423" s="554" t="s">
        <v>66</v>
      </c>
      <c r="C423" s="555"/>
      <c r="D423" s="405">
        <f t="shared" ref="D423:D424" si="48">IF(AC423="","",(1-$W$2)*(AC423/1.2))</f>
        <v>833.33333333333337</v>
      </c>
      <c r="E423" s="92">
        <f t="shared" ref="E423" si="49">IF($W$5=0.2,D423*1.2,D423)/$W$4</f>
        <v>1000</v>
      </c>
      <c r="F423" s="26"/>
      <c r="G423" s="26"/>
      <c r="H423" s="5"/>
      <c r="AC423" s="297">
        <v>1000</v>
      </c>
      <c r="AD423" s="288"/>
      <c r="AE423" s="288"/>
      <c r="AF423" s="288"/>
      <c r="AG423" s="288"/>
      <c r="AH423" s="288"/>
      <c r="AI423" s="288"/>
      <c r="AJ423" s="288"/>
      <c r="AK423" s="288"/>
      <c r="AL423" s="288"/>
    </row>
    <row r="424" spans="2:38" ht="14.25" customHeight="1">
      <c r="B424" s="554" t="str">
        <f>IF($C$1="ENG","door handle","дверна ручка")</f>
        <v>дверна ручка</v>
      </c>
      <c r="C424" s="555"/>
      <c r="D424" s="403">
        <f t="shared" si="48"/>
        <v>0</v>
      </c>
      <c r="E424" s="135" t="str">
        <f>IF($C$1="ENG","see Handles Price","див. Таблицю Ручки")</f>
        <v>див. Таблицю Ручки</v>
      </c>
      <c r="F424" s="26"/>
      <c r="G424" s="26"/>
      <c r="AC424" s="297">
        <v>0</v>
      </c>
      <c r="AD424" s="288">
        <f t="shared" ref="AD424" si="50">AC424/100*13+AC424</f>
        <v>0</v>
      </c>
      <c r="AE424" s="288" t="e">
        <f t="shared" ref="AE424" si="51">AD424/AC424-1</f>
        <v>#DIV/0!</v>
      </c>
      <c r="AF424" s="288"/>
      <c r="AG424" s="288"/>
      <c r="AH424" s="288"/>
      <c r="AI424" s="288"/>
      <c r="AJ424" s="288"/>
      <c r="AK424" s="288"/>
      <c r="AL424" s="288"/>
    </row>
    <row r="425" spans="2:38" ht="14.25" customHeight="1">
      <c r="C425" s="244"/>
      <c r="D425" s="26"/>
      <c r="E425" s="26"/>
      <c r="F425" s="26"/>
      <c r="G425" s="26"/>
      <c r="H425" s="5"/>
      <c r="T425" s="571" t="str">
        <f>IF($C$1="ENG",CONCATENATE("down to: ",B730),CONCATENATE("вниз до: ",B730))</f>
        <v xml:space="preserve">вниз до: </v>
      </c>
      <c r="U425" s="571"/>
      <c r="V425" s="571"/>
      <c r="W425" s="571"/>
    </row>
    <row r="426" spans="2:38" ht="13.5" customHeight="1">
      <c r="C426" s="244"/>
      <c r="D426" s="26"/>
      <c r="E426" s="26"/>
      <c r="F426" s="26"/>
      <c r="G426" s="26"/>
      <c r="H426" s="5"/>
      <c r="T426" s="515"/>
      <c r="U426" s="515"/>
      <c r="V426" s="515"/>
      <c r="W426" s="515"/>
    </row>
    <row r="427" spans="2:38" ht="13.5" customHeight="1">
      <c r="C427" s="244"/>
      <c r="D427" s="26"/>
      <c r="E427" s="26"/>
      <c r="F427" s="26"/>
      <c r="G427" s="26"/>
      <c r="H427" s="5"/>
      <c r="T427" s="515"/>
      <c r="U427" s="515"/>
      <c r="V427" s="515"/>
      <c r="W427" s="515"/>
    </row>
    <row r="428" spans="2:38" ht="13.5" customHeight="1">
      <c r="C428" s="244"/>
      <c r="D428" s="26"/>
      <c r="E428" s="26"/>
      <c r="F428" s="26"/>
      <c r="G428" s="26"/>
      <c r="H428" s="5"/>
      <c r="T428" s="515"/>
      <c r="U428" s="515"/>
      <c r="V428" s="515"/>
      <c r="W428" s="515"/>
    </row>
    <row r="429" spans="2:38" ht="13.5" customHeight="1">
      <c r="C429" s="244"/>
      <c r="D429" s="26"/>
      <c r="E429" s="26"/>
      <c r="F429" s="26"/>
      <c r="G429" s="26"/>
      <c r="H429" s="5"/>
      <c r="T429" s="515"/>
      <c r="U429" s="515"/>
      <c r="V429" s="515"/>
      <c r="W429" s="515"/>
    </row>
    <row r="430" spans="2:38" ht="13.5" customHeight="1">
      <c r="C430" s="244"/>
      <c r="D430" s="26"/>
      <c r="E430" s="26"/>
      <c r="F430" s="26"/>
      <c r="G430" s="26"/>
      <c r="H430" s="5"/>
      <c r="T430" s="515"/>
      <c r="U430" s="515"/>
      <c r="V430" s="515"/>
      <c r="W430" s="515"/>
    </row>
    <row r="431" spans="2:38" ht="13.5" customHeight="1">
      <c r="C431" s="244"/>
      <c r="D431" s="26"/>
      <c r="E431" s="26"/>
      <c r="F431" s="26"/>
      <c r="G431" s="26"/>
      <c r="H431" s="5"/>
      <c r="T431" s="515"/>
      <c r="U431" s="515"/>
      <c r="V431" s="515"/>
      <c r="W431" s="515"/>
    </row>
    <row r="432" spans="2:38" ht="13.5" customHeight="1">
      <c r="C432" s="244"/>
      <c r="D432" s="26"/>
      <c r="E432" s="26"/>
      <c r="F432" s="26"/>
      <c r="G432" s="26"/>
      <c r="H432" s="5"/>
      <c r="T432" s="515"/>
      <c r="U432" s="515"/>
      <c r="V432" s="515"/>
      <c r="W432" s="515"/>
    </row>
    <row r="433" spans="3:23" ht="13.5" customHeight="1">
      <c r="C433" s="244"/>
      <c r="D433" s="26"/>
      <c r="E433" s="26"/>
      <c r="F433" s="26"/>
      <c r="G433" s="26"/>
      <c r="H433" s="5"/>
      <c r="T433" s="515"/>
      <c r="U433" s="515"/>
      <c r="V433" s="515"/>
      <c r="W433" s="515"/>
    </row>
    <row r="434" spans="3:23" ht="13.5" customHeight="1">
      <c r="C434" s="244"/>
      <c r="D434" s="26"/>
      <c r="E434" s="26"/>
      <c r="F434" s="26"/>
      <c r="G434" s="26"/>
      <c r="H434" s="5"/>
      <c r="T434" s="515"/>
      <c r="U434" s="515"/>
      <c r="V434" s="515"/>
      <c r="W434" s="515"/>
    </row>
    <row r="435" spans="3:23" ht="13.5" customHeight="1">
      <c r="C435" s="244"/>
      <c r="D435" s="26"/>
      <c r="E435" s="26"/>
      <c r="F435" s="26"/>
      <c r="G435" s="26"/>
      <c r="H435" s="5"/>
      <c r="T435" s="515"/>
      <c r="U435" s="515"/>
      <c r="V435" s="515"/>
      <c r="W435" s="515"/>
    </row>
    <row r="436" spans="3:23" ht="13.5" customHeight="1">
      <c r="C436" s="244"/>
      <c r="D436" s="26"/>
      <c r="E436" s="26"/>
      <c r="F436" s="26"/>
      <c r="G436" s="26"/>
      <c r="H436" s="5"/>
      <c r="T436" s="515"/>
      <c r="U436" s="515"/>
      <c r="V436" s="515"/>
      <c r="W436" s="515"/>
    </row>
    <row r="437" spans="3:23" ht="13.5" customHeight="1">
      <c r="C437" s="244"/>
      <c r="D437" s="26"/>
      <c r="E437" s="26"/>
      <c r="F437" s="26"/>
      <c r="G437" s="26"/>
      <c r="H437" s="5"/>
      <c r="T437" s="515"/>
      <c r="U437" s="515"/>
      <c r="V437" s="515"/>
      <c r="W437" s="515"/>
    </row>
    <row r="438" spans="3:23" ht="13.5" customHeight="1">
      <c r="C438" s="244"/>
      <c r="D438" s="26"/>
      <c r="E438" s="26"/>
      <c r="F438" s="26"/>
      <c r="G438" s="26"/>
      <c r="H438" s="5"/>
      <c r="T438" s="515"/>
      <c r="U438" s="515"/>
      <c r="V438" s="515"/>
      <c r="W438" s="515"/>
    </row>
    <row r="439" spans="3:23" ht="13.5" customHeight="1">
      <c r="C439" s="244"/>
      <c r="D439" s="26"/>
      <c r="E439" s="26"/>
      <c r="F439" s="26"/>
      <c r="G439" s="26"/>
      <c r="H439" s="5"/>
      <c r="T439" s="515"/>
      <c r="U439" s="515"/>
      <c r="V439" s="515"/>
      <c r="W439" s="515"/>
    </row>
    <row r="440" spans="3:23" ht="13.5" customHeight="1">
      <c r="C440" s="244"/>
      <c r="D440" s="26"/>
      <c r="E440" s="26"/>
      <c r="F440" s="26"/>
      <c r="G440" s="26"/>
      <c r="H440" s="5"/>
      <c r="T440" s="515"/>
      <c r="U440" s="515"/>
      <c r="V440" s="515"/>
      <c r="W440" s="515"/>
    </row>
    <row r="441" spans="3:23" ht="13.5" customHeight="1">
      <c r="C441" s="244"/>
      <c r="D441" s="26"/>
      <c r="E441" s="26"/>
      <c r="F441" s="26"/>
      <c r="G441" s="26"/>
      <c r="H441" s="5"/>
      <c r="T441" s="515"/>
      <c r="U441" s="515"/>
      <c r="V441" s="515"/>
      <c r="W441" s="515"/>
    </row>
    <row r="442" spans="3:23" ht="13.5" customHeight="1">
      <c r="C442" s="244"/>
      <c r="D442" s="26"/>
      <c r="E442" s="26"/>
      <c r="F442" s="26"/>
      <c r="G442" s="26"/>
      <c r="H442" s="5"/>
      <c r="T442" s="515"/>
      <c r="U442" s="515"/>
      <c r="V442" s="515"/>
      <c r="W442" s="515"/>
    </row>
    <row r="443" spans="3:23" ht="13.5" customHeight="1">
      <c r="C443" s="244"/>
      <c r="D443" s="26"/>
      <c r="E443" s="26"/>
      <c r="F443" s="26"/>
      <c r="G443" s="26"/>
      <c r="H443" s="5"/>
      <c r="T443" s="515"/>
      <c r="U443" s="515"/>
      <c r="V443" s="515"/>
      <c r="W443" s="515"/>
    </row>
    <row r="444" spans="3:23" ht="13.5" customHeight="1">
      <c r="C444" s="244"/>
      <c r="D444" s="26"/>
      <c r="E444" s="26"/>
      <c r="F444" s="26"/>
      <c r="G444" s="26"/>
      <c r="H444" s="5"/>
      <c r="T444" s="515"/>
      <c r="U444" s="515"/>
      <c r="V444" s="515"/>
      <c r="W444" s="515"/>
    </row>
    <row r="445" spans="3:23" ht="13.5" customHeight="1">
      <c r="C445" s="244"/>
      <c r="D445" s="26"/>
      <c r="E445" s="26"/>
      <c r="F445" s="26"/>
      <c r="G445" s="26"/>
      <c r="H445" s="5"/>
      <c r="T445" s="515"/>
      <c r="U445" s="515"/>
      <c r="V445" s="515"/>
      <c r="W445" s="515"/>
    </row>
    <row r="446" spans="3:23" ht="13.5" customHeight="1">
      <c r="C446" s="244"/>
      <c r="D446" s="26"/>
      <c r="E446" s="26"/>
      <c r="F446" s="26"/>
      <c r="G446" s="26"/>
      <c r="H446" s="5"/>
      <c r="T446" s="515"/>
      <c r="U446" s="515"/>
      <c r="V446" s="515"/>
      <c r="W446" s="515"/>
    </row>
    <row r="447" spans="3:23" ht="13.5" customHeight="1">
      <c r="C447" s="244"/>
      <c r="D447" s="26"/>
      <c r="E447" s="26"/>
      <c r="F447" s="26"/>
      <c r="G447" s="26"/>
      <c r="H447" s="5"/>
      <c r="T447" s="515"/>
      <c r="U447" s="515"/>
      <c r="V447" s="515"/>
      <c r="W447" s="515"/>
    </row>
    <row r="448" spans="3:23" ht="13.5" customHeight="1">
      <c r="C448" s="244"/>
      <c r="D448" s="26"/>
      <c r="E448" s="26"/>
      <c r="F448" s="26"/>
      <c r="G448" s="26"/>
      <c r="H448" s="5"/>
      <c r="T448" s="515"/>
      <c r="U448" s="515"/>
      <c r="V448" s="515"/>
      <c r="W448" s="515"/>
    </row>
    <row r="449" spans="2:46" ht="14.25" customHeight="1">
      <c r="C449" s="244"/>
      <c r="D449" s="26"/>
      <c r="E449" s="26"/>
      <c r="F449" s="26"/>
      <c r="G449" s="26"/>
      <c r="H449" s="5"/>
    </row>
    <row r="450" spans="2:46" ht="14.25" customHeight="1">
      <c r="C450" s="244"/>
      <c r="D450" s="26"/>
      <c r="E450" s="26"/>
      <c r="F450" s="26"/>
      <c r="G450" s="26"/>
      <c r="H450" s="5"/>
    </row>
    <row r="451" spans="2:46" ht="14.25" customHeight="1">
      <c r="C451" s="244"/>
      <c r="D451" s="26"/>
      <c r="E451" s="26"/>
      <c r="F451" s="26"/>
      <c r="G451" s="26"/>
      <c r="H451" s="5"/>
    </row>
    <row r="452" spans="2:46" ht="14.25" customHeight="1">
      <c r="C452" s="244"/>
      <c r="D452" s="26"/>
      <c r="E452" s="26"/>
      <c r="F452" s="26"/>
      <c r="G452" s="26"/>
      <c r="H452" s="5"/>
    </row>
    <row r="453" spans="2:46" ht="14.25" customHeight="1">
      <c r="C453" s="244"/>
      <c r="D453" s="26"/>
      <c r="E453" s="26"/>
      <c r="F453" s="26"/>
      <c r="G453" s="26"/>
      <c r="H453" s="5"/>
    </row>
    <row r="454" spans="2:46" ht="14.25" customHeight="1">
      <c r="C454" s="244"/>
      <c r="D454" s="26"/>
      <c r="E454" s="26"/>
      <c r="F454" s="26"/>
      <c r="G454" s="26"/>
      <c r="H454" s="5"/>
    </row>
    <row r="455" spans="2:46" ht="14.25" customHeight="1">
      <c r="C455" s="244"/>
      <c r="D455" s="26"/>
      <c r="E455" s="26"/>
      <c r="F455" s="26"/>
      <c r="G455" s="26"/>
      <c r="H455" s="5"/>
    </row>
    <row r="456" spans="2:46" ht="14.25" customHeight="1">
      <c r="C456" s="244"/>
      <c r="D456" s="26"/>
      <c r="E456" s="26"/>
      <c r="F456" s="26"/>
      <c r="G456" s="26"/>
      <c r="H456" s="5"/>
    </row>
    <row r="457" spans="2:46" ht="14.25" customHeight="1">
      <c r="C457" s="244"/>
      <c r="D457" s="26"/>
      <c r="E457" s="26"/>
      <c r="F457" s="26"/>
      <c r="G457" s="26"/>
      <c r="H457" s="5"/>
    </row>
    <row r="458" spans="2:46" ht="14.25" customHeight="1">
      <c r="C458" s="244"/>
      <c r="D458" s="26"/>
      <c r="E458" s="26"/>
      <c r="F458" s="26"/>
      <c r="G458" s="26"/>
      <c r="H458" s="5"/>
    </row>
    <row r="459" spans="2:46" ht="14.25" customHeight="1">
      <c r="C459" s="244"/>
      <c r="D459" s="26"/>
      <c r="E459" s="26"/>
      <c r="F459" s="26"/>
      <c r="G459" s="26"/>
      <c r="H459" s="5"/>
    </row>
    <row r="460" spans="2:46" ht="14.25" customHeight="1">
      <c r="C460" s="244"/>
      <c r="D460" s="26"/>
      <c r="E460" s="26"/>
      <c r="F460" s="26"/>
      <c r="G460" s="26"/>
      <c r="H460" s="5"/>
    </row>
    <row r="461" spans="2:46" ht="14.25" customHeight="1">
      <c r="C461" s="244"/>
      <c r="D461" s="26"/>
      <c r="E461" s="26"/>
      <c r="F461" s="26"/>
      <c r="G461" s="26"/>
      <c r="H461" s="5"/>
    </row>
    <row r="462" spans="2:46" ht="14.25" customHeight="1">
      <c r="C462" s="244"/>
      <c r="D462" s="26"/>
      <c r="E462" s="26"/>
      <c r="F462" s="26"/>
      <c r="G462" s="26"/>
      <c r="H462" s="5"/>
    </row>
    <row r="463" spans="2:46" s="8" customFormat="1">
      <c r="B463" s="550" t="str">
        <f>TITLE!C14</f>
        <v>Полотна збірні: СОХО</v>
      </c>
      <c r="C463" s="550"/>
      <c r="D463" s="117"/>
      <c r="E463" s="117"/>
      <c r="F463" s="117"/>
      <c r="G463" s="117"/>
      <c r="H463" s="552"/>
      <c r="I463" s="552"/>
      <c r="J463" s="120"/>
      <c r="K463" s="120"/>
      <c r="L463" s="120"/>
      <c r="M463" s="120"/>
      <c r="N463" s="120"/>
      <c r="O463" s="120"/>
      <c r="P463" s="120"/>
      <c r="Q463" s="120"/>
      <c r="R463" s="120"/>
      <c r="S463" s="545" t="str">
        <f>IF($C$1="ENG",CONCATENATE("up to: ",B143),CONCATENATE("вгору до: ",B143))</f>
        <v xml:space="preserve">вгору до: </v>
      </c>
      <c r="T463" s="546"/>
      <c r="U463" s="546"/>
      <c r="V463" s="546"/>
      <c r="W463" s="546"/>
      <c r="AN463" s="279"/>
      <c r="AO463" s="279"/>
      <c r="AP463" s="279"/>
      <c r="AQ463" s="279"/>
      <c r="AR463" s="279"/>
      <c r="AS463" s="279"/>
      <c r="AT463" s="279"/>
    </row>
    <row r="464" spans="2:46" s="8" customFormat="1" ht="5.0999999999999996" customHeight="1">
      <c r="B464" s="116"/>
      <c r="C464" s="418"/>
      <c r="D464" s="9"/>
      <c r="E464" s="9"/>
      <c r="F464" s="9"/>
      <c r="G464" s="9"/>
      <c r="H464" s="119"/>
      <c r="I464" s="119"/>
      <c r="T464" s="511"/>
      <c r="U464" s="511"/>
      <c r="V464" s="511"/>
      <c r="W464" s="511"/>
      <c r="AN464" s="279"/>
      <c r="AO464" s="279"/>
      <c r="AP464" s="279"/>
      <c r="AQ464" s="279"/>
      <c r="AR464" s="279"/>
      <c r="AS464" s="279"/>
      <c r="AT464" s="279"/>
    </row>
    <row r="465" spans="1:46" s="8" customFormat="1" ht="12.75" customHeight="1">
      <c r="B465" s="556" t="str">
        <f>IF($C$1="ENG","model","модель")</f>
        <v>модель</v>
      </c>
      <c r="C465" s="121" t="str">
        <f>IF($C$1="ENG","cover:","покриття:")</f>
        <v>покриття:</v>
      </c>
      <c r="D465" s="538" t="str">
        <f>IF($C$1="ENG","Verto-CELL","Verto-CELL")</f>
        <v>Verto-CELL</v>
      </c>
      <c r="E465" s="539"/>
      <c r="F465" s="538" t="str">
        <f>IF($C$1="ENG","UNI-MAT","UNI-MAT")</f>
        <v>UNI-MAT</v>
      </c>
      <c r="G465" s="539"/>
      <c r="H465" s="538" t="str">
        <f>IF($C$1="ENG","RESIST","RESIST")</f>
        <v>RESIST</v>
      </c>
      <c r="I465" s="539"/>
      <c r="J465" s="538" t="str">
        <f>IF($C$1="ENG","Verto LINE-3D","Verto LINE-3D")</f>
        <v>Verto LINE-3D</v>
      </c>
      <c r="K465" s="539"/>
      <c r="L465" s="538" t="str">
        <f>IF($C$1="ENG","ECO Shpon","ЕКО Шпон")</f>
        <v>ЕКО Шпон</v>
      </c>
      <c r="M465" s="539"/>
      <c r="N465" s="1"/>
      <c r="O465" s="1"/>
      <c r="T465" s="511"/>
      <c r="U465" s="511"/>
      <c r="V465" s="511"/>
      <c r="W465" s="511"/>
      <c r="AN465" s="279"/>
      <c r="AO465" s="279"/>
      <c r="AP465" s="279"/>
      <c r="AQ465" s="279"/>
      <c r="AR465" s="279"/>
      <c r="AS465" s="279"/>
      <c r="AT465" s="279"/>
    </row>
    <row r="466" spans="1:46" s="8" customFormat="1" ht="24.95" customHeight="1">
      <c r="B466" s="557"/>
      <c r="C466" s="122" t="str">
        <f>IF($C$1="ENG","filling:","заповнення:")</f>
        <v>заповнення:</v>
      </c>
      <c r="D466" s="540" t="str">
        <f>IF($C$1="ENG","softwood","клеєний сосновий брус")</f>
        <v>клеєний сосновий брус</v>
      </c>
      <c r="E466" s="541"/>
      <c r="F466" s="540" t="str">
        <f>IF($C$1="ENG","softwood","клеєний сосновий брус")</f>
        <v>клеєний сосновий брус</v>
      </c>
      <c r="G466" s="541"/>
      <c r="H466" s="540" t="str">
        <f>IF($C$1="ENG","softwood","клеєний сосновий брус")</f>
        <v>клеєний сосновий брус</v>
      </c>
      <c r="I466" s="541"/>
      <c r="J466" s="540" t="str">
        <f>IF($C$1="ENG","softwood","клеєний сосновий брус")</f>
        <v>клеєний сосновий брус</v>
      </c>
      <c r="K466" s="541"/>
      <c r="L466" s="540" t="str">
        <f>IF($C$1="ENG","softwood","клеєний сосновий брус")</f>
        <v>клеєний сосновий брус</v>
      </c>
      <c r="M466" s="541"/>
      <c r="N466" s="1"/>
      <c r="O466" s="1"/>
      <c r="T466" s="511"/>
      <c r="U466" s="511"/>
      <c r="V466" s="511"/>
      <c r="W466" s="511"/>
      <c r="AD466" s="381">
        <f>AD468/AC468-1</f>
        <v>3.3745781777277939E-2</v>
      </c>
      <c r="AE466" s="381">
        <f>AE468/AD468-1</f>
        <v>3.2644178454842132E-2</v>
      </c>
      <c r="AF466" s="381">
        <f>AF468/AE468-1</f>
        <v>3.3719704952581697E-2</v>
      </c>
      <c r="AG466" s="381">
        <f>AG468/AF468-1</f>
        <v>1.8348623853210899E-2</v>
      </c>
      <c r="AN466" s="279"/>
      <c r="AO466" s="279"/>
      <c r="AP466" s="279"/>
      <c r="AQ466" s="279"/>
      <c r="AR466" s="279"/>
      <c r="AS466" s="279"/>
      <c r="AT466" s="279"/>
    </row>
    <row r="467" spans="1:46" ht="12.75" customHeight="1">
      <c r="A467" s="8"/>
      <c r="B467" s="558"/>
      <c r="C467" s="123" t="str">
        <f>IF($C$1="ENG","glazing:","скління:")</f>
        <v>скління:</v>
      </c>
      <c r="D467" s="542" t="str">
        <f>IF($C$1="ENG","Satin","Сатин")</f>
        <v>Сатин</v>
      </c>
      <c r="E467" s="543"/>
      <c r="F467" s="542" t="str">
        <f>IF($C$1="ENG","Satin","Сатин")</f>
        <v>Сатин</v>
      </c>
      <c r="G467" s="543"/>
      <c r="H467" s="542" t="str">
        <f>IF($C$1="ENG","Satin","Сатин")</f>
        <v>Сатин</v>
      </c>
      <c r="I467" s="543"/>
      <c r="J467" s="542" t="str">
        <f>IF($C$1="ENG","Satin","Сатин")</f>
        <v>Сатин</v>
      </c>
      <c r="K467" s="543"/>
      <c r="L467" s="542" t="str">
        <f>IF($C$1="ENG","Satin","Сатин")</f>
        <v>Сатин</v>
      </c>
      <c r="M467" s="543"/>
    </row>
    <row r="468" spans="1:46" ht="35.1" customHeight="1">
      <c r="A468" s="8"/>
      <c r="B468" s="16" t="s">
        <v>16</v>
      </c>
      <c r="C468" s="17"/>
      <c r="D468" s="18">
        <f>IF(AC468="","",(1-$W$2)*(AC468/1.2))</f>
        <v>7408.3333333333339</v>
      </c>
      <c r="E468" s="66">
        <f>IF($W$5=0.2,D468*1.2,D468)/$W$4</f>
        <v>8890</v>
      </c>
      <c r="F468" s="18">
        <f>IF(AD468="","",(1-$W$2)*(AD468/1.2))</f>
        <v>7658.3333333333339</v>
      </c>
      <c r="G468" s="66">
        <f>IF($W$5=0.2,F468*1.2,F468)/$W$4</f>
        <v>9190</v>
      </c>
      <c r="H468" s="18">
        <f>IF(AE468="","",(1-$W$2)*(AE468/1.2))</f>
        <v>7908.3333333333339</v>
      </c>
      <c r="I468" s="66">
        <f>IF($W$5=0.2,H468*1.2,H468)/$W$4</f>
        <v>9490</v>
      </c>
      <c r="J468" s="18">
        <f>IF(AF468="","",(1-$W$2)*(AF468/1.2))</f>
        <v>8175</v>
      </c>
      <c r="K468" s="66">
        <f>IF($W$5=0.2,J468*1.2,J468)/$W$4</f>
        <v>9810</v>
      </c>
      <c r="L468" s="18">
        <f>IF(AG468="","",(1-$W$2)*(AG468/1.2))</f>
        <v>8325</v>
      </c>
      <c r="M468" s="66">
        <f>IF($W$5=0.2,L468*1.2,L468)/$W$4</f>
        <v>9990</v>
      </c>
      <c r="R468" s="103"/>
      <c r="T468" s="103"/>
      <c r="U468" s="20"/>
      <c r="V468" s="103"/>
      <c r="W468" s="20"/>
      <c r="X468" s="103"/>
      <c r="Y468" s="103"/>
      <c r="Z468" s="103"/>
      <c r="AA468" s="103"/>
      <c r="AB468" s="103"/>
      <c r="AC468" s="331">
        <v>8890</v>
      </c>
      <c r="AD468" s="389">
        <v>9190</v>
      </c>
      <c r="AE468" s="331">
        <v>9490</v>
      </c>
      <c r="AF468" s="331">
        <v>9810</v>
      </c>
      <c r="AG468" s="331">
        <v>9990</v>
      </c>
      <c r="AH468" s="288"/>
      <c r="AI468" s="288"/>
      <c r="AJ468" s="288"/>
      <c r="AK468" s="288"/>
      <c r="AL468" s="288"/>
      <c r="AM468" s="288"/>
      <c r="AN468" s="288"/>
      <c r="AO468" s="288"/>
      <c r="AP468" s="288"/>
      <c r="AQ468" s="288">
        <f>AP468/AG468-1</f>
        <v>-1</v>
      </c>
    </row>
    <row r="469" spans="1:46" ht="35.1" customHeight="1">
      <c r="A469" s="8"/>
      <c r="B469" s="16" t="s">
        <v>70</v>
      </c>
      <c r="C469" s="17"/>
      <c r="D469" s="18">
        <f>IF(AC469="","",(1-$W$2)*(AC469/1.2))</f>
        <v>7408.3333333333339</v>
      </c>
      <c r="E469" s="66">
        <f>IF($W$5=0.2,D469*1.2,D469)/$W$4</f>
        <v>8890</v>
      </c>
      <c r="F469" s="18">
        <f>IF(AD469="","",(1-$W$2)*(AD469/1.2))</f>
        <v>7658.3333333333339</v>
      </c>
      <c r="G469" s="66">
        <f>IF($W$5=0.2,F469*1.2,F469)/$W$4</f>
        <v>9190</v>
      </c>
      <c r="H469" s="18">
        <f>IF(AE469="","",(1-$W$2)*(AE469/1.2))</f>
        <v>7908.3333333333339</v>
      </c>
      <c r="I469" s="66">
        <f>IF($W$5=0.2,H469*1.2,H469)/$W$4</f>
        <v>9490</v>
      </c>
      <c r="J469" s="18">
        <f>IF(AF469="","",(1-$W$2)*(AF469/1.2))</f>
        <v>8175</v>
      </c>
      <c r="K469" s="66">
        <f>IF($W$5=0.2,J469*1.2,J469)/$W$4</f>
        <v>9810</v>
      </c>
      <c r="L469" s="18">
        <f>IF(AG469="","",(1-$W$2)*(AG469/1.2))</f>
        <v>8325</v>
      </c>
      <c r="M469" s="66">
        <f>IF($W$5=0.2,L469*1.2,L469)/$W$4</f>
        <v>9990</v>
      </c>
      <c r="R469" s="103"/>
      <c r="T469" s="103"/>
      <c r="U469" s="20"/>
      <c r="V469" s="103"/>
      <c r="W469" s="20"/>
      <c r="X469" s="103"/>
      <c r="Y469" s="103"/>
      <c r="Z469" s="103"/>
      <c r="AA469" s="103"/>
      <c r="AB469" s="103"/>
      <c r="AC469" s="331">
        <v>8890</v>
      </c>
      <c r="AD469" s="389">
        <v>9190</v>
      </c>
      <c r="AE469" s="331">
        <v>9490</v>
      </c>
      <c r="AF469" s="331">
        <v>9810</v>
      </c>
      <c r="AG469" s="331">
        <v>9990</v>
      </c>
      <c r="AH469" s="288"/>
      <c r="AI469" s="288"/>
      <c r="AJ469" s="288"/>
      <c r="AK469" s="288"/>
      <c r="AL469" s="288"/>
      <c r="AM469" s="288"/>
      <c r="AN469" s="288"/>
      <c r="AO469" s="288"/>
      <c r="AP469" s="288"/>
      <c r="AQ469" s="288">
        <f t="shared" ref="AQ469:AQ471" si="52">AP469/AG469-1</f>
        <v>-1</v>
      </c>
    </row>
    <row r="470" spans="1:46" ht="35.1" customHeight="1">
      <c r="A470" s="8"/>
      <c r="B470" s="106" t="s">
        <v>14</v>
      </c>
      <c r="C470" s="321"/>
      <c r="D470" s="517">
        <f>IF(AC470="","",(1-$W$2)*(AC470/1.2))</f>
        <v>7408.3333333333339</v>
      </c>
      <c r="E470" s="518">
        <f>IF($W$5=0.2,D470*1.2,D470)/$W$4</f>
        <v>8890</v>
      </c>
      <c r="F470" s="517">
        <f>IF(AD470="","",(1-$W$2)*(AD470/1.2))</f>
        <v>7658.3333333333339</v>
      </c>
      <c r="G470" s="518">
        <f>IF($W$5=0.2,F470*1.2,F470)/$W$4</f>
        <v>9190</v>
      </c>
      <c r="H470" s="517">
        <f>IF(AE470="","",(1-$W$2)*(AE470/1.2))</f>
        <v>7908.3333333333339</v>
      </c>
      <c r="I470" s="518">
        <f>IF($W$5=0.2,H470*1.2,H470)/$W$4</f>
        <v>9490</v>
      </c>
      <c r="J470" s="517">
        <f>IF(AF470="","",(1-$W$2)*(AF470/1.2))</f>
        <v>8175</v>
      </c>
      <c r="K470" s="518">
        <f>IF($W$5=0.2,J470*1.2,J470)/$W$4</f>
        <v>9810</v>
      </c>
      <c r="L470" s="517">
        <f>IF(AG470="","",(1-$W$2)*(AG470/1.2))</f>
        <v>8325</v>
      </c>
      <c r="M470" s="518">
        <f>IF($W$5=0.2,L470*1.2,L470)/$W$4</f>
        <v>9990</v>
      </c>
      <c r="R470" s="103"/>
      <c r="T470" s="103"/>
      <c r="U470" s="20"/>
      <c r="V470" s="103"/>
      <c r="W470" s="20"/>
      <c r="X470" s="103"/>
      <c r="Y470" s="103"/>
      <c r="Z470" s="103"/>
      <c r="AA470" s="103"/>
      <c r="AB470" s="103"/>
      <c r="AC470" s="331">
        <v>8890</v>
      </c>
      <c r="AD470" s="389">
        <v>9190</v>
      </c>
      <c r="AE470" s="331">
        <v>9490</v>
      </c>
      <c r="AF470" s="331">
        <v>9810</v>
      </c>
      <c r="AG470" s="331">
        <v>9990</v>
      </c>
      <c r="AH470" s="288"/>
      <c r="AI470" s="288"/>
      <c r="AJ470" s="288"/>
      <c r="AK470" s="288"/>
      <c r="AL470" s="288"/>
      <c r="AM470" s="288"/>
      <c r="AN470" s="288"/>
      <c r="AO470" s="288"/>
      <c r="AP470" s="288"/>
      <c r="AQ470" s="288">
        <f t="shared" ref="AQ470" si="53">AP470/AG470-1</f>
        <v>-1</v>
      </c>
    </row>
    <row r="471" spans="1:46" ht="35.1" customHeight="1">
      <c r="A471" s="8"/>
      <c r="B471" s="23" t="s">
        <v>17</v>
      </c>
      <c r="C471" s="24"/>
      <c r="D471" s="25">
        <f>IF(AC471="","",(1-$W$2)*(AC471/1.2))</f>
        <v>7408.3333333333339</v>
      </c>
      <c r="E471" s="69">
        <f>IF($W$5=0.2,D471*1.2,D471)/$W$4</f>
        <v>8890</v>
      </c>
      <c r="F471" s="25">
        <f>IF(AD471="","",(1-$W$2)*(AD471/1.2))</f>
        <v>7658.3333333333339</v>
      </c>
      <c r="G471" s="69">
        <f>IF($W$5=0.2,F471*1.2,F471)/$W$4</f>
        <v>9190</v>
      </c>
      <c r="H471" s="25">
        <f>IF(AE471="","",(1-$W$2)*(AE471/1.2))</f>
        <v>7908.3333333333339</v>
      </c>
      <c r="I471" s="69">
        <f>IF($W$5=0.2,H471*1.2,H471)/$W$4</f>
        <v>9490</v>
      </c>
      <c r="J471" s="25">
        <f>IF(AF471="","",(1-$W$2)*(AF471/1.2))</f>
        <v>8175</v>
      </c>
      <c r="K471" s="69">
        <f>IF($W$5=0.2,J471*1.2,J471)/$W$4</f>
        <v>9810</v>
      </c>
      <c r="L471" s="25">
        <f>IF(AG471="","",(1-$W$2)*(AG471/1.2))</f>
        <v>8325</v>
      </c>
      <c r="M471" s="69">
        <f>IF($W$5=0.2,L471*1.2,L471)/$W$4</f>
        <v>9990</v>
      </c>
      <c r="R471" s="103"/>
      <c r="T471" s="103"/>
      <c r="U471" s="20"/>
      <c r="V471" s="103"/>
      <c r="W471" s="20"/>
      <c r="X471" s="103"/>
      <c r="Y471" s="103"/>
      <c r="Z471" s="103"/>
      <c r="AA471" s="103"/>
      <c r="AB471" s="103"/>
      <c r="AC471" s="331">
        <v>8890</v>
      </c>
      <c r="AD471" s="389">
        <v>9190</v>
      </c>
      <c r="AE471" s="331">
        <v>9490</v>
      </c>
      <c r="AF471" s="331">
        <v>9810</v>
      </c>
      <c r="AG471" s="331">
        <v>9990</v>
      </c>
      <c r="AH471" s="288"/>
      <c r="AI471" s="288"/>
      <c r="AJ471" s="288"/>
      <c r="AK471" s="288"/>
      <c r="AL471" s="288"/>
      <c r="AM471" s="288"/>
      <c r="AN471" s="288"/>
      <c r="AO471" s="288"/>
      <c r="AP471" s="288"/>
      <c r="AQ471" s="288">
        <f t="shared" si="52"/>
        <v>-1</v>
      </c>
    </row>
    <row r="472" spans="1:46">
      <c r="C472" s="244"/>
      <c r="D472" s="26"/>
      <c r="E472" s="57"/>
      <c r="F472" s="26"/>
      <c r="G472" s="57"/>
      <c r="H472" s="10"/>
      <c r="I472" s="8"/>
      <c r="J472" s="8"/>
      <c r="K472" s="8"/>
    </row>
    <row r="473" spans="1:46">
      <c r="B473" s="211" t="str">
        <f>IF($C$1="ENG","For additonal charge:","Послуги за додаткову плату:")</f>
        <v>Послуги за додаткову плату:</v>
      </c>
      <c r="C473" s="419"/>
      <c r="D473" s="212"/>
      <c r="E473" s="213"/>
      <c r="F473" s="26"/>
      <c r="G473" s="57"/>
      <c r="H473" s="10"/>
      <c r="I473" s="8"/>
      <c r="J473" s="8"/>
      <c r="K473" s="8"/>
    </row>
    <row r="474" spans="1:46" ht="5.0999999999999996" customHeight="1">
      <c r="B474" s="27"/>
      <c r="C474" s="244"/>
      <c r="D474" s="26"/>
      <c r="E474" s="57"/>
      <c r="F474" s="26"/>
      <c r="G474" s="57"/>
      <c r="H474" s="10"/>
      <c r="I474" s="8"/>
      <c r="J474" s="8"/>
      <c r="K474" s="8"/>
    </row>
    <row r="475" spans="1:46">
      <c r="B475" s="561" t="str">
        <f>IF($C$1="ENG","door leaf with width 100","полотно розміром 100")</f>
        <v>полотно розміром 100</v>
      </c>
      <c r="C475" s="562"/>
      <c r="D475" s="408">
        <f t="shared" ref="D475:D486" si="54">IF(AC475="","",(1-$W$2)*(AC475/1.2))</f>
        <v>600</v>
      </c>
      <c r="E475" s="91">
        <f>IF($W$5=0.2,D475*1.2,D475)/$W$4</f>
        <v>720</v>
      </c>
      <c r="F475" s="26"/>
      <c r="G475" s="26"/>
      <c r="H475" s="10"/>
      <c r="I475" s="8"/>
      <c r="J475" s="8"/>
      <c r="K475" s="8"/>
      <c r="AC475" s="297">
        <v>720</v>
      </c>
      <c r="AD475" s="288">
        <v>720</v>
      </c>
      <c r="AE475" s="288">
        <f>AD475/AC475-1</f>
        <v>0</v>
      </c>
      <c r="AF475" s="288"/>
      <c r="AG475" s="288"/>
      <c r="AH475" s="288"/>
      <c r="AI475" s="288"/>
      <c r="AJ475" s="288"/>
      <c r="AK475" s="288"/>
      <c r="AL475" s="288"/>
    </row>
    <row r="476" spans="1:46">
      <c r="B476" s="561" t="str">
        <f>IF($C$1="ENG","Ventilation cut","вентиляційний підріз")</f>
        <v>вентиляційний підріз</v>
      </c>
      <c r="C476" s="562"/>
      <c r="D476" s="403">
        <f t="shared" si="54"/>
        <v>141.66666666666669</v>
      </c>
      <c r="E476" s="66">
        <f t="shared" ref="E476:E485" si="55">IF($W$5=0.2,D476*1.2,D476)/$W$4</f>
        <v>170.00000000000003</v>
      </c>
      <c r="F476" s="26"/>
      <c r="G476" s="26"/>
      <c r="I476" s="59"/>
      <c r="J476" s="28"/>
      <c r="AC476" s="297">
        <v>170</v>
      </c>
      <c r="AD476" s="288">
        <v>170</v>
      </c>
      <c r="AE476" s="288">
        <f t="shared" ref="AE476:AE478" si="56">AD476/AC476-1</f>
        <v>0</v>
      </c>
      <c r="AF476" s="288"/>
      <c r="AG476" s="288"/>
      <c r="AH476" s="288"/>
      <c r="AI476" s="288"/>
      <c r="AJ476" s="288"/>
      <c r="AK476" s="288"/>
      <c r="AL476" s="288"/>
    </row>
    <row r="477" spans="1:46">
      <c r="B477" s="554" t="str">
        <f>IF($C$1="ENG","glazing Graphite / Bronze","скло Графіт / Бронза")</f>
        <v>скло Графіт / Бронза</v>
      </c>
      <c r="C477" s="555"/>
      <c r="D477" s="405">
        <f t="shared" si="54"/>
        <v>458.33333333333337</v>
      </c>
      <c r="E477" s="92">
        <f t="shared" si="55"/>
        <v>550</v>
      </c>
      <c r="F477" s="26"/>
      <c r="G477" s="26"/>
      <c r="H477" s="5"/>
      <c r="AC477" s="297">
        <v>550</v>
      </c>
      <c r="AD477" s="288">
        <v>550</v>
      </c>
      <c r="AE477" s="288">
        <f t="shared" si="56"/>
        <v>0</v>
      </c>
      <c r="AF477" s="288"/>
      <c r="AG477" s="288"/>
      <c r="AH477" s="288"/>
      <c r="AI477" s="288"/>
      <c r="AJ477" s="288"/>
      <c r="AK477" s="288"/>
      <c r="AL477" s="288"/>
    </row>
    <row r="478" spans="1:46">
      <c r="B478" s="554" t="str">
        <f>IF($C$1="ENG","door lock Soft","замок Soft")</f>
        <v>замок Soft</v>
      </c>
      <c r="C478" s="555"/>
      <c r="D478" s="405">
        <f t="shared" si="54"/>
        <v>458.33333333333337</v>
      </c>
      <c r="E478" s="92">
        <f t="shared" si="55"/>
        <v>550</v>
      </c>
      <c r="F478" s="26"/>
      <c r="G478" s="26"/>
      <c r="H478" s="5"/>
      <c r="AC478" s="297">
        <v>550</v>
      </c>
      <c r="AD478" s="288">
        <v>550</v>
      </c>
      <c r="AE478" s="288">
        <f t="shared" si="56"/>
        <v>0</v>
      </c>
      <c r="AF478" s="288"/>
      <c r="AG478" s="288"/>
      <c r="AH478" s="288"/>
      <c r="AI478" s="288"/>
      <c r="AJ478" s="288"/>
      <c r="AK478" s="288"/>
      <c r="AL478" s="288"/>
    </row>
    <row r="479" spans="1:46">
      <c r="B479" s="554" t="str">
        <f>IF($C$1="ENG","door lock Soft black","замок Soft чорн.")</f>
        <v>замок Soft чорн.</v>
      </c>
      <c r="C479" s="555"/>
      <c r="D479" s="405">
        <f t="shared" si="54"/>
        <v>566.66666666666674</v>
      </c>
      <c r="E479" s="92">
        <f t="shared" si="55"/>
        <v>680.00000000000011</v>
      </c>
      <c r="F479" s="26"/>
      <c r="G479" s="26"/>
      <c r="H479" s="5"/>
      <c r="AC479" s="297">
        <v>680</v>
      </c>
      <c r="AD479" s="288"/>
      <c r="AE479" s="288"/>
      <c r="AF479" s="288"/>
      <c r="AG479" s="288"/>
      <c r="AH479" s="288"/>
      <c r="AI479" s="288"/>
      <c r="AJ479" s="288"/>
      <c r="AK479" s="288"/>
      <c r="AL479" s="288"/>
    </row>
    <row r="480" spans="1:46">
      <c r="B480" s="554" t="str">
        <f>IF($C$1="ENG","door lock Magnet","замок Magnet")</f>
        <v>замок Magnet</v>
      </c>
      <c r="C480" s="555"/>
      <c r="D480" s="405">
        <f t="shared" si="54"/>
        <v>666.66666666666674</v>
      </c>
      <c r="E480" s="92">
        <f t="shared" si="55"/>
        <v>800.00000000000011</v>
      </c>
      <c r="F480" s="26"/>
      <c r="G480" s="26"/>
      <c r="H480" s="5"/>
      <c r="AC480" s="297">
        <v>800</v>
      </c>
      <c r="AD480" s="288">
        <v>800</v>
      </c>
      <c r="AE480" s="288">
        <f t="shared" ref="AE480" si="57">AD480/AC480-1</f>
        <v>0</v>
      </c>
      <c r="AF480" s="288"/>
      <c r="AG480" s="288"/>
      <c r="AH480" s="288"/>
      <c r="AI480" s="288"/>
      <c r="AJ480" s="288"/>
      <c r="AK480" s="288"/>
      <c r="AL480" s="288"/>
    </row>
    <row r="481" spans="2:38">
      <c r="B481" s="554" t="s">
        <v>66</v>
      </c>
      <c r="C481" s="555"/>
      <c r="D481" s="405">
        <f t="shared" si="54"/>
        <v>833.33333333333337</v>
      </c>
      <c r="E481" s="92">
        <f t="shared" si="55"/>
        <v>1000</v>
      </c>
      <c r="F481" s="26"/>
      <c r="G481" s="26"/>
      <c r="H481" s="5"/>
      <c r="AC481" s="297">
        <v>1000</v>
      </c>
      <c r="AD481" s="288"/>
      <c r="AE481" s="288"/>
      <c r="AF481" s="288"/>
      <c r="AG481" s="288"/>
      <c r="AH481" s="288"/>
      <c r="AI481" s="288"/>
      <c r="AJ481" s="288"/>
      <c r="AK481" s="288"/>
      <c r="AL481" s="288"/>
    </row>
    <row r="482" spans="2:38">
      <c r="B482" s="554" t="str">
        <f>IF($C$1="ENG","door handle-lock (for sliding doors)","ручка-замок (для дверей купе)")</f>
        <v>ручка-замок (для дверей купе)</v>
      </c>
      <c r="C482" s="555"/>
      <c r="D482" s="403">
        <f t="shared" si="54"/>
        <v>466.66666666666669</v>
      </c>
      <c r="E482" s="92">
        <f t="shared" si="55"/>
        <v>560</v>
      </c>
      <c r="F482" s="26"/>
      <c r="G482" s="26"/>
      <c r="I482" s="11"/>
      <c r="J482" s="11"/>
      <c r="K482" s="19"/>
      <c r="AC482" s="297">
        <v>560</v>
      </c>
      <c r="AD482" s="288">
        <v>560</v>
      </c>
      <c r="AE482" s="288">
        <f t="shared" ref="AE482:AE485" si="58">AD482/AC482-1</f>
        <v>0</v>
      </c>
      <c r="AF482" s="288"/>
      <c r="AG482" s="288"/>
      <c r="AH482" s="288"/>
      <c r="AI482" s="288"/>
      <c r="AJ482" s="288"/>
      <c r="AK482" s="288"/>
      <c r="AL482" s="288"/>
    </row>
    <row r="483" spans="2:38">
      <c r="B483" s="554" t="str">
        <f>IF($C$1="ENG","cylinder incert","циліндр несиметричний")</f>
        <v>циліндр несиметричний</v>
      </c>
      <c r="C483" s="555"/>
      <c r="D483" s="403">
        <f t="shared" si="54"/>
        <v>325</v>
      </c>
      <c r="E483" s="92">
        <f t="shared" si="55"/>
        <v>390</v>
      </c>
      <c r="F483" s="26"/>
      <c r="G483" s="26"/>
      <c r="AC483" s="297">
        <v>390</v>
      </c>
      <c r="AD483" s="288">
        <v>390</v>
      </c>
      <c r="AE483" s="288">
        <f t="shared" si="58"/>
        <v>0</v>
      </c>
      <c r="AF483" s="288"/>
      <c r="AG483" s="288"/>
      <c r="AH483" s="288"/>
      <c r="AI483" s="288"/>
      <c r="AJ483" s="288"/>
      <c r="AK483" s="288"/>
      <c r="AL483" s="288"/>
    </row>
    <row r="484" spans="2:38">
      <c r="B484" s="554" t="str">
        <f>IF($C$1="ENG","door hindge Prestige (1 unit)","завіса Prestige (1 шт)")</f>
        <v>завіса Prestige (1 шт)</v>
      </c>
      <c r="C484" s="555"/>
      <c r="D484" s="406">
        <f t="shared" si="54"/>
        <v>216.66666666666669</v>
      </c>
      <c r="E484" s="92">
        <f t="shared" si="55"/>
        <v>260</v>
      </c>
      <c r="F484" s="26"/>
      <c r="G484" s="26"/>
      <c r="AC484" s="297">
        <v>260</v>
      </c>
      <c r="AD484" s="288">
        <v>260</v>
      </c>
      <c r="AE484" s="288">
        <f t="shared" si="58"/>
        <v>0</v>
      </c>
      <c r="AF484" s="288"/>
      <c r="AG484" s="288"/>
      <c r="AH484" s="288"/>
      <c r="AI484" s="288"/>
      <c r="AJ484" s="288"/>
      <c r="AK484" s="288"/>
      <c r="AL484" s="288"/>
    </row>
    <row r="485" spans="2:38">
      <c r="B485" s="554" t="str">
        <f>IF($C$1="ENG","door hinge caps (1 set)","накладка на завіси (1 к-т)")</f>
        <v>накладка на завіси (1 к-т)</v>
      </c>
      <c r="C485" s="555"/>
      <c r="D485" s="406">
        <f t="shared" si="54"/>
        <v>66.666666666666671</v>
      </c>
      <c r="E485" s="92">
        <f t="shared" si="55"/>
        <v>80</v>
      </c>
      <c r="F485" s="26"/>
      <c r="G485" s="26"/>
      <c r="AC485" s="297">
        <v>80</v>
      </c>
      <c r="AD485" s="288">
        <v>80</v>
      </c>
      <c r="AE485" s="288">
        <f t="shared" si="58"/>
        <v>0</v>
      </c>
      <c r="AF485" s="288"/>
      <c r="AG485" s="288"/>
      <c r="AH485" s="288"/>
      <c r="AI485" s="288"/>
      <c r="AJ485" s="288"/>
      <c r="AK485" s="288"/>
      <c r="AL485" s="288"/>
    </row>
    <row r="486" spans="2:38">
      <c r="B486" s="554" t="str">
        <f>IF($C$1="ENG","door handle","дверна ручка")</f>
        <v>дверна ручка</v>
      </c>
      <c r="C486" s="555"/>
      <c r="D486" s="407" t="str">
        <f t="shared" si="54"/>
        <v/>
      </c>
      <c r="E486" s="246" t="str">
        <f>IF($C$1="ENG","see Handles Price","див. Таблицю Ручки")</f>
        <v>див. Таблицю Ручки</v>
      </c>
      <c r="F486" s="26"/>
      <c r="G486" s="26"/>
      <c r="AC486" s="288"/>
      <c r="AD486" s="288"/>
      <c r="AE486" s="288"/>
      <c r="AF486" s="288"/>
      <c r="AG486" s="288"/>
      <c r="AH486" s="288"/>
      <c r="AI486" s="288"/>
      <c r="AJ486" s="288"/>
      <c r="AK486" s="288"/>
      <c r="AL486" s="288"/>
    </row>
    <row r="487" spans="2:38" ht="14.25" customHeight="1">
      <c r="C487" s="244"/>
      <c r="D487" s="26"/>
      <c r="E487" s="26"/>
      <c r="F487" s="26"/>
      <c r="G487" s="26"/>
      <c r="H487" s="5"/>
      <c r="T487" s="536" t="str">
        <f>IF($C$1="ENG",CONCATENATE("down to: ",B683),CONCATENATE("вниз до: ",B683))</f>
        <v xml:space="preserve">вниз до: </v>
      </c>
      <c r="U487" s="536"/>
      <c r="V487" s="536"/>
      <c r="W487" s="536"/>
    </row>
    <row r="488" spans="2:38" ht="14.25" customHeight="1">
      <c r="C488" s="244"/>
      <c r="D488" s="26"/>
      <c r="E488" s="26"/>
      <c r="F488" s="26"/>
      <c r="G488" s="26"/>
      <c r="H488" s="5"/>
    </row>
    <row r="489" spans="2:38" ht="14.25" customHeight="1">
      <c r="C489" s="244"/>
      <c r="D489" s="26"/>
      <c r="E489" s="26"/>
      <c r="F489" s="26"/>
      <c r="G489" s="26"/>
      <c r="H489" s="5"/>
    </row>
    <row r="490" spans="2:38" ht="14.25" customHeight="1">
      <c r="C490" s="244"/>
      <c r="D490" s="26"/>
      <c r="E490" s="26"/>
      <c r="F490" s="26"/>
      <c r="G490" s="26"/>
      <c r="H490" s="5"/>
    </row>
    <row r="491" spans="2:38" ht="14.25" customHeight="1">
      <c r="C491" s="244"/>
      <c r="D491" s="26"/>
      <c r="E491" s="26"/>
      <c r="F491" s="26"/>
      <c r="G491" s="26"/>
      <c r="H491" s="5"/>
    </row>
    <row r="492" spans="2:38" ht="14.25" customHeight="1">
      <c r="C492" s="244"/>
      <c r="D492" s="26"/>
      <c r="E492" s="26"/>
      <c r="F492" s="26"/>
      <c r="G492" s="26"/>
      <c r="H492" s="5"/>
    </row>
    <row r="493" spans="2:38" ht="14.25" customHeight="1">
      <c r="C493" s="244"/>
      <c r="D493" s="26"/>
      <c r="E493" s="26"/>
      <c r="F493" s="26"/>
      <c r="G493" s="26"/>
      <c r="H493" s="5"/>
    </row>
    <row r="494" spans="2:38" ht="14.25" customHeight="1">
      <c r="C494" s="244"/>
      <c r="D494" s="26"/>
      <c r="E494" s="26"/>
      <c r="F494" s="26"/>
      <c r="G494" s="26"/>
      <c r="H494" s="5"/>
    </row>
    <row r="495" spans="2:38" ht="14.25" customHeight="1">
      <c r="C495" s="244"/>
      <c r="D495" s="26"/>
      <c r="E495" s="26"/>
      <c r="F495" s="26"/>
      <c r="G495" s="26"/>
      <c r="H495" s="5"/>
    </row>
    <row r="496" spans="2:38" ht="14.25" customHeight="1">
      <c r="C496" s="244"/>
      <c r="D496" s="26"/>
      <c r="E496" s="26"/>
      <c r="F496" s="26"/>
      <c r="G496" s="26"/>
      <c r="H496" s="5"/>
    </row>
    <row r="497" spans="2:46" ht="14.25" customHeight="1">
      <c r="C497" s="244"/>
      <c r="D497" s="26"/>
      <c r="E497" s="26"/>
      <c r="F497" s="26"/>
      <c r="G497" s="26"/>
      <c r="H497" s="5"/>
    </row>
    <row r="498" spans="2:46" ht="14.25" customHeight="1">
      <c r="C498" s="244"/>
      <c r="D498" s="26"/>
      <c r="E498" s="26"/>
      <c r="F498" s="26"/>
      <c r="G498" s="26"/>
      <c r="H498" s="5"/>
    </row>
    <row r="499" spans="2:46" ht="14.25" customHeight="1">
      <c r="C499" s="244"/>
      <c r="D499" s="26"/>
      <c r="E499" s="26"/>
      <c r="F499" s="26"/>
      <c r="G499" s="26"/>
      <c r="H499" s="5"/>
    </row>
    <row r="500" spans="2:46" ht="14.25" customHeight="1">
      <c r="C500" s="244"/>
      <c r="D500" s="26"/>
      <c r="E500" s="26"/>
      <c r="F500" s="26"/>
      <c r="G500" s="26"/>
      <c r="H500" s="5"/>
    </row>
    <row r="501" spans="2:46" ht="14.25" customHeight="1">
      <c r="C501" s="244"/>
      <c r="D501" s="26"/>
      <c r="E501" s="26"/>
      <c r="F501" s="26"/>
      <c r="G501" s="26"/>
      <c r="H501" s="5"/>
    </row>
    <row r="502" spans="2:46" ht="14.25" customHeight="1">
      <c r="C502" s="244"/>
      <c r="D502" s="26"/>
      <c r="E502" s="26"/>
      <c r="F502" s="26"/>
      <c r="G502" s="26"/>
      <c r="H502" s="5"/>
    </row>
    <row r="503" spans="2:46" ht="14.25" customHeight="1">
      <c r="C503" s="244"/>
      <c r="D503" s="26"/>
      <c r="E503" s="26"/>
      <c r="F503" s="26"/>
      <c r="G503" s="26"/>
      <c r="H503" s="5"/>
    </row>
    <row r="504" spans="2:46" ht="14.25" customHeight="1">
      <c r="C504" s="244"/>
      <c r="D504" s="26"/>
      <c r="E504" s="26"/>
      <c r="F504" s="26"/>
      <c r="G504" s="26"/>
      <c r="H504" s="5"/>
    </row>
    <row r="505" spans="2:46" ht="14.25" customHeight="1">
      <c r="C505" s="244"/>
      <c r="D505" s="26"/>
      <c r="E505" s="26"/>
      <c r="F505" s="26"/>
      <c r="G505" s="26"/>
      <c r="H505" s="5"/>
    </row>
    <row r="506" spans="2:46" ht="14.25" customHeight="1">
      <c r="C506" s="244"/>
      <c r="D506" s="26"/>
      <c r="E506" s="26"/>
      <c r="F506" s="26"/>
      <c r="G506" s="26"/>
      <c r="H506" s="5"/>
    </row>
    <row r="507" spans="2:46" ht="14.25" customHeight="1">
      <c r="C507" s="244"/>
      <c r="D507" s="26"/>
      <c r="E507" s="26"/>
      <c r="F507" s="26"/>
      <c r="G507" s="26"/>
      <c r="H507" s="5"/>
    </row>
    <row r="508" spans="2:46" ht="14.25" customHeight="1">
      <c r="C508" s="244"/>
      <c r="D508" s="26"/>
      <c r="E508" s="26"/>
      <c r="F508" s="26"/>
      <c r="G508" s="26"/>
      <c r="H508" s="5"/>
    </row>
    <row r="509" spans="2:46" ht="14.25" customHeight="1">
      <c r="C509" s="244"/>
      <c r="D509" s="26"/>
      <c r="E509" s="26"/>
      <c r="F509" s="26"/>
      <c r="G509" s="26"/>
      <c r="H509" s="5"/>
    </row>
    <row r="510" spans="2:46" s="8" customFormat="1">
      <c r="B510" s="550" t="str">
        <f>TITLE!C15</f>
        <v>Полотна збірні: МОДЕНА</v>
      </c>
      <c r="C510" s="550"/>
      <c r="D510" s="117"/>
      <c r="E510" s="117"/>
      <c r="F510" s="117"/>
      <c r="G510" s="117"/>
      <c r="H510" s="552"/>
      <c r="I510" s="552"/>
      <c r="J510" s="120"/>
      <c r="K510" s="120"/>
      <c r="L510" s="120"/>
      <c r="M510" s="120"/>
      <c r="N510" s="120"/>
      <c r="O510" s="120"/>
      <c r="P510" s="120"/>
      <c r="Q510" s="120"/>
      <c r="R510" s="120"/>
      <c r="S510" s="545" t="str">
        <f>IF($C$1="ENG",CONCATENATE("up to: ",B340),CONCATENATE("вгору до: ",B340))</f>
        <v xml:space="preserve">вгору до: </v>
      </c>
      <c r="T510" s="546"/>
      <c r="U510" s="546"/>
      <c r="V510" s="546"/>
      <c r="W510" s="546"/>
      <c r="AN510" s="279"/>
      <c r="AO510" s="279"/>
      <c r="AP510" s="279"/>
      <c r="AQ510" s="279"/>
      <c r="AR510" s="279"/>
      <c r="AS510" s="279"/>
      <c r="AT510" s="279"/>
    </row>
    <row r="511" spans="2:46" s="8" customFormat="1" ht="5.0999999999999996" customHeight="1">
      <c r="B511" s="116"/>
      <c r="C511" s="418"/>
      <c r="D511" s="9"/>
      <c r="E511" s="9"/>
      <c r="F511" s="9"/>
      <c r="G511" s="9"/>
      <c r="H511" s="119"/>
      <c r="S511" s="511"/>
      <c r="T511" s="511"/>
      <c r="U511" s="511"/>
      <c r="V511" s="511"/>
      <c r="AM511" s="279"/>
      <c r="AN511" s="279"/>
      <c r="AO511" s="279"/>
      <c r="AP511" s="279"/>
      <c r="AQ511" s="279"/>
      <c r="AR511" s="279"/>
      <c r="AS511" s="279"/>
    </row>
    <row r="512" spans="2:46" s="8" customFormat="1" ht="12.75" customHeight="1">
      <c r="B512" s="556" t="str">
        <f>IF($C$1="ENG","model","модель")</f>
        <v>модель</v>
      </c>
      <c r="C512" s="121" t="str">
        <f>IF($C$1="ENG","cover:","покриття:")</f>
        <v>покриття:</v>
      </c>
      <c r="D512" s="538" t="str">
        <f>IF($C$1="ENG","UNI-MAT","UNI-MAT")</f>
        <v>UNI-MAT</v>
      </c>
      <c r="E512" s="539"/>
      <c r="F512" s="538" t="str">
        <f>IF($C$1="ENG","RESIST","RESIST")</f>
        <v>RESIST</v>
      </c>
      <c r="G512" s="539"/>
      <c r="H512" s="1"/>
      <c r="T512" s="511"/>
      <c r="U512" s="511"/>
      <c r="V512" s="511"/>
      <c r="W512" s="511"/>
      <c r="AN512" s="279"/>
      <c r="AO512" s="279"/>
      <c r="AP512" s="279"/>
      <c r="AQ512" s="279"/>
      <c r="AR512" s="279"/>
      <c r="AS512" s="279"/>
      <c r="AT512" s="279"/>
    </row>
    <row r="513" spans="1:47" s="8" customFormat="1" ht="24.95" customHeight="1">
      <c r="B513" s="557"/>
      <c r="C513" s="122" t="str">
        <f>IF($C$1="ENG","filling:","заповнення:")</f>
        <v>заповнення:</v>
      </c>
      <c r="D513" s="540" t="str">
        <f>IF($C$1="ENG","softwood","клеєний сосновий брус")</f>
        <v>клеєний сосновий брус</v>
      </c>
      <c r="E513" s="541"/>
      <c r="F513" s="540" t="str">
        <f>IF($C$1="ENG","softwood","клеєний сосновий брус")</f>
        <v>клеєний сосновий брус</v>
      </c>
      <c r="G513" s="541"/>
      <c r="H513" s="1"/>
      <c r="I513" s="1"/>
      <c r="U513" s="511"/>
      <c r="V513" s="511"/>
      <c r="W513" s="511"/>
      <c r="X513" s="511"/>
      <c r="AE513" s="381" t="e">
        <f>AD515/AC515-1</f>
        <v>#DIV/0!</v>
      </c>
      <c r="AF513" s="381">
        <f>AE515/AD515-1</f>
        <v>3.9886039886039892E-2</v>
      </c>
      <c r="AG513" s="381">
        <f>AF515/AE515-1</f>
        <v>0.10273972602739723</v>
      </c>
      <c r="AH513" s="381">
        <f>AG515/AF515-1</f>
        <v>5.2173913043478182E-2</v>
      </c>
      <c r="AO513" s="279"/>
      <c r="AP513" s="279"/>
      <c r="AQ513" s="279"/>
      <c r="AR513" s="279"/>
      <c r="AS513" s="279"/>
      <c r="AT513" s="279"/>
      <c r="AU513" s="279"/>
    </row>
    <row r="514" spans="1:47" ht="12.75" customHeight="1">
      <c r="A514" s="8"/>
      <c r="B514" s="558"/>
      <c r="C514" s="123" t="str">
        <f>IF($C$1="ENG","glazing:","скління:")</f>
        <v>скління:</v>
      </c>
      <c r="D514" s="542" t="str">
        <f>IF($C$1="ENG","Satin","Сатин")</f>
        <v>Сатин</v>
      </c>
      <c r="E514" s="543"/>
      <c r="F514" s="542" t="str">
        <f>IF($C$1="ENG","Satin","Сатин")</f>
        <v>Сатин</v>
      </c>
      <c r="G514" s="543"/>
      <c r="AN514" s="1"/>
      <c r="AU514" s="30"/>
    </row>
    <row r="515" spans="1:47" ht="35.1" customHeight="1">
      <c r="A515" s="8"/>
      <c r="B515" s="16" t="s">
        <v>61</v>
      </c>
      <c r="C515" s="17"/>
      <c r="D515" s="18">
        <f>IF(AD515="","",(1-$W$2)*(AD515/1.2))</f>
        <v>5850</v>
      </c>
      <c r="E515" s="66">
        <f>IF($W$5=0.2,D515*1.2,D515)/$W$4</f>
        <v>7020</v>
      </c>
      <c r="F515" s="18">
        <f>IF(AE515="","",(1-$W$2)*(AE515/1.2))</f>
        <v>6083.3333333333339</v>
      </c>
      <c r="G515" s="66">
        <f>IF($W$5=0.2,F515*1.2,F515)/$W$4</f>
        <v>7300.0000000000009</v>
      </c>
      <c r="L515" s="103"/>
      <c r="M515" s="103"/>
      <c r="N515" s="103"/>
      <c r="O515" s="103"/>
      <c r="P515" s="103"/>
      <c r="Q515" s="103"/>
      <c r="R515" s="103"/>
      <c r="S515" s="103"/>
      <c r="U515" s="103"/>
      <c r="V515" s="20"/>
      <c r="W515" s="103"/>
      <c r="X515" s="20"/>
      <c r="Y515" s="103"/>
      <c r="Z515" s="103"/>
      <c r="AA515" s="103"/>
      <c r="AB515" s="103"/>
      <c r="AC515" s="331"/>
      <c r="AD515" s="389">
        <v>7020</v>
      </c>
      <c r="AE515" s="331">
        <v>7300</v>
      </c>
      <c r="AF515" s="331">
        <v>8050</v>
      </c>
      <c r="AG515" s="331">
        <v>8470</v>
      </c>
      <c r="AH515" s="288">
        <v>6230</v>
      </c>
      <c r="AI515" s="288" t="e">
        <f>AH515/AC515-1</f>
        <v>#DIV/0!</v>
      </c>
      <c r="AJ515" s="288">
        <v>7100</v>
      </c>
      <c r="AK515" s="288">
        <f>AJ515/AD515-1</f>
        <v>1.139601139601143E-2</v>
      </c>
      <c r="AL515" s="288">
        <v>7390</v>
      </c>
      <c r="AM515" s="288">
        <f>AL515/AE515-1</f>
        <v>1.2328767123287676E-2</v>
      </c>
      <c r="AN515" s="288">
        <v>8050</v>
      </c>
      <c r="AO515" s="288">
        <f>AN515/AF515-1</f>
        <v>0</v>
      </c>
      <c r="AP515" s="288">
        <v>8470</v>
      </c>
      <c r="AQ515" s="288">
        <f>AP515/AG515-1</f>
        <v>0</v>
      </c>
    </row>
    <row r="516" spans="1:47" ht="35.1" customHeight="1">
      <c r="A516" s="8"/>
      <c r="B516" s="106" t="s">
        <v>63</v>
      </c>
      <c r="C516" s="321"/>
      <c r="D516" s="18">
        <f t="shared" ref="D516:D517" si="59">IF(AD516="","",(1-$W$2)*(AD516/1.2))</f>
        <v>6075</v>
      </c>
      <c r="E516" s="66">
        <f t="shared" ref="E516:E517" si="60">IF($W$5=0.2,D516*1.2,D516)/$W$4</f>
        <v>7290</v>
      </c>
      <c r="F516" s="18">
        <f t="shared" ref="F516:F517" si="61">IF(AE516="","",(1-$W$2)*(AE516/1.2))</f>
        <v>6316.666666666667</v>
      </c>
      <c r="G516" s="66">
        <f t="shared" ref="G516:G517" si="62">IF($W$5=0.2,F516*1.2,F516)/$W$4</f>
        <v>7580</v>
      </c>
      <c r="L516" s="103"/>
      <c r="M516" s="103"/>
      <c r="N516" s="103"/>
      <c r="O516" s="103"/>
      <c r="P516" s="103"/>
      <c r="Q516" s="103"/>
      <c r="R516" s="103"/>
      <c r="S516" s="103"/>
      <c r="U516" s="103"/>
      <c r="V516" s="20"/>
      <c r="W516" s="103"/>
      <c r="X516" s="20"/>
      <c r="Y516" s="103"/>
      <c r="Z516" s="103"/>
      <c r="AA516" s="103"/>
      <c r="AB516" s="103"/>
      <c r="AC516" s="331"/>
      <c r="AD516" s="389">
        <v>7290</v>
      </c>
      <c r="AE516" s="331">
        <v>7580</v>
      </c>
      <c r="AF516" s="331"/>
      <c r="AG516" s="331"/>
      <c r="AH516" s="288"/>
      <c r="AI516" s="288"/>
      <c r="AJ516" s="288"/>
      <c r="AK516" s="288"/>
      <c r="AL516" s="288"/>
      <c r="AM516" s="288"/>
      <c r="AN516" s="288"/>
      <c r="AO516" s="288"/>
      <c r="AP516" s="288"/>
      <c r="AQ516" s="288"/>
    </row>
    <row r="517" spans="1:47" ht="35.1" customHeight="1">
      <c r="A517" s="8"/>
      <c r="B517" s="106" t="s">
        <v>64</v>
      </c>
      <c r="C517" s="321"/>
      <c r="D517" s="18">
        <f t="shared" si="59"/>
        <v>5883.3333333333339</v>
      </c>
      <c r="E517" s="66">
        <f t="shared" si="60"/>
        <v>7060.0000000000009</v>
      </c>
      <c r="F517" s="18">
        <f t="shared" si="61"/>
        <v>6116.666666666667</v>
      </c>
      <c r="G517" s="66">
        <f t="shared" si="62"/>
        <v>7340</v>
      </c>
      <c r="L517" s="103"/>
      <c r="M517" s="103"/>
      <c r="N517" s="103"/>
      <c r="O517" s="103"/>
      <c r="P517" s="103"/>
      <c r="Q517" s="103"/>
      <c r="R517" s="103"/>
      <c r="S517" s="103"/>
      <c r="U517" s="103"/>
      <c r="V517" s="20"/>
      <c r="W517" s="103"/>
      <c r="X517" s="20"/>
      <c r="Y517" s="103"/>
      <c r="Z517" s="103"/>
      <c r="AA517" s="103"/>
      <c r="AB517" s="103"/>
      <c r="AC517" s="331"/>
      <c r="AD517" s="389">
        <v>7060</v>
      </c>
      <c r="AE517" s="331">
        <v>7340</v>
      </c>
      <c r="AF517" s="331"/>
      <c r="AG517" s="331"/>
      <c r="AH517" s="288"/>
      <c r="AI517" s="288"/>
      <c r="AJ517" s="288"/>
      <c r="AK517" s="288"/>
      <c r="AL517" s="288"/>
      <c r="AM517" s="288"/>
      <c r="AN517" s="288"/>
      <c r="AO517" s="288"/>
      <c r="AP517" s="288"/>
      <c r="AQ517" s="288"/>
    </row>
    <row r="518" spans="1:47" ht="35.1" customHeight="1">
      <c r="A518" s="8"/>
      <c r="B518" s="23" t="s">
        <v>65</v>
      </c>
      <c r="C518" s="24"/>
      <c r="D518" s="25">
        <f>IF(AD518="","",(1-$W$2)*(AD518/1.2))</f>
        <v>6325</v>
      </c>
      <c r="E518" s="69">
        <f>IF($W$5=0.2,D518*1.2,D518)/$W$4</f>
        <v>7590</v>
      </c>
      <c r="F518" s="25">
        <f>IF(AE518="","",(1-$W$2)*(AE518/1.2))</f>
        <v>6583.3333333333339</v>
      </c>
      <c r="G518" s="69">
        <f>IF($W$5=0.2,F518*1.2,F518)/$W$4</f>
        <v>7900</v>
      </c>
      <c r="L518" s="103"/>
      <c r="M518" s="103"/>
      <c r="N518" s="103"/>
      <c r="O518" s="103"/>
      <c r="P518" s="103"/>
      <c r="Q518" s="103"/>
      <c r="R518" s="103"/>
      <c r="S518" s="103"/>
      <c r="U518" s="103"/>
      <c r="V518" s="20"/>
      <c r="W518" s="103"/>
      <c r="X518" s="20"/>
      <c r="Y518" s="103"/>
      <c r="Z518" s="103"/>
      <c r="AA518" s="103"/>
      <c r="AB518" s="103"/>
      <c r="AC518" s="331"/>
      <c r="AD518" s="389">
        <v>7590</v>
      </c>
      <c r="AE518" s="331">
        <v>7900</v>
      </c>
      <c r="AF518" s="331">
        <v>8050</v>
      </c>
      <c r="AG518" s="331">
        <v>8470</v>
      </c>
      <c r="AH518" s="288">
        <v>6230</v>
      </c>
      <c r="AI518" s="288" t="e">
        <f t="shared" ref="AI518" si="63">AH518/AC518-1</f>
        <v>#DIV/0!</v>
      </c>
      <c r="AJ518" s="288">
        <v>7100</v>
      </c>
      <c r="AK518" s="288">
        <f t="shared" ref="AK518" si="64">AJ518/AD518-1</f>
        <v>-6.4558629776021115E-2</v>
      </c>
      <c r="AL518" s="288">
        <v>7390</v>
      </c>
      <c r="AM518" s="288">
        <f t="shared" ref="AM518" si="65">AL518/AE518-1</f>
        <v>-6.4556962025316467E-2</v>
      </c>
      <c r="AN518" s="288">
        <v>8050</v>
      </c>
      <c r="AO518" s="288">
        <f t="shared" ref="AO518" si="66">AN518/AF518-1</f>
        <v>0</v>
      </c>
      <c r="AP518" s="288">
        <v>8470</v>
      </c>
      <c r="AQ518" s="288">
        <f t="shared" ref="AQ518" si="67">AP518/AG518-1</f>
        <v>0</v>
      </c>
    </row>
    <row r="519" spans="1:47">
      <c r="C519" s="244"/>
      <c r="D519" s="26"/>
      <c r="E519" s="57"/>
      <c r="F519" s="26"/>
      <c r="G519" s="57"/>
      <c r="H519" s="10"/>
      <c r="I519" s="8"/>
      <c r="J519" s="8"/>
      <c r="K519" s="8"/>
    </row>
    <row r="520" spans="1:47">
      <c r="B520" s="211" t="str">
        <f>IF($C$1="ENG","For additonal charge:","Послуги за додаткову плату:")</f>
        <v>Послуги за додаткову плату:</v>
      </c>
      <c r="C520" s="419"/>
      <c r="D520" s="212"/>
      <c r="E520" s="213"/>
      <c r="F520" s="26"/>
      <c r="G520" s="57"/>
      <c r="H520" s="10"/>
      <c r="I520" s="8"/>
      <c r="J520" s="8"/>
      <c r="K520" s="8"/>
    </row>
    <row r="521" spans="1:47" ht="5.0999999999999996" customHeight="1">
      <c r="B521" s="27"/>
      <c r="C521" s="244"/>
      <c r="D521" s="26"/>
      <c r="E521" s="57"/>
      <c r="F521" s="26"/>
      <c r="G521" s="57"/>
      <c r="H521" s="10"/>
      <c r="I521" s="8"/>
      <c r="J521" s="8"/>
      <c r="K521" s="8"/>
    </row>
    <row r="522" spans="1:47">
      <c r="B522" s="561" t="str">
        <f>IF($C$1="ENG","door leaf with width 100","полотно розміром 100")</f>
        <v>полотно розміром 100</v>
      </c>
      <c r="C522" s="562"/>
      <c r="D522" s="408">
        <f t="shared" ref="D522:D533" si="68">IF(AC522="","",(1-$W$2)*(AC522/1.2))</f>
        <v>600</v>
      </c>
      <c r="E522" s="91">
        <f>IF($W$5=0.2,D522*1.2,D522)/$W$4</f>
        <v>720</v>
      </c>
      <c r="F522" s="26"/>
      <c r="G522" s="26"/>
      <c r="H522" s="10"/>
      <c r="I522" s="8"/>
      <c r="J522" s="8"/>
      <c r="K522" s="8"/>
      <c r="AC522" s="297">
        <v>720</v>
      </c>
      <c r="AD522" s="288">
        <v>720</v>
      </c>
      <c r="AE522" s="288">
        <f>AD522/AC522-1</f>
        <v>0</v>
      </c>
      <c r="AF522" s="288"/>
      <c r="AG522" s="288"/>
      <c r="AH522" s="288"/>
      <c r="AI522" s="288"/>
      <c r="AJ522" s="288"/>
      <c r="AK522" s="288"/>
      <c r="AL522" s="288"/>
    </row>
    <row r="523" spans="1:47">
      <c r="B523" s="561" t="str">
        <f>IF($C$1="ENG","Ventilation cut","вентиляційний підріз")</f>
        <v>вентиляційний підріз</v>
      </c>
      <c r="C523" s="562"/>
      <c r="D523" s="403">
        <f t="shared" si="68"/>
        <v>141.66666666666669</v>
      </c>
      <c r="E523" s="66">
        <f t="shared" ref="E523:E532" si="69">IF($W$5=0.2,D523*1.2,D523)/$W$4</f>
        <v>170.00000000000003</v>
      </c>
      <c r="F523" s="26"/>
      <c r="G523" s="26"/>
      <c r="I523" s="59"/>
      <c r="J523" s="28"/>
      <c r="AC523" s="297">
        <v>170</v>
      </c>
      <c r="AD523" s="288">
        <v>170</v>
      </c>
      <c r="AE523" s="288">
        <f t="shared" ref="AE523:AE525" si="70">AD523/AC523-1</f>
        <v>0</v>
      </c>
      <c r="AF523" s="288"/>
      <c r="AG523" s="288"/>
      <c r="AH523" s="288"/>
      <c r="AI523" s="288"/>
      <c r="AJ523" s="288"/>
      <c r="AK523" s="288"/>
      <c r="AL523" s="288"/>
    </row>
    <row r="524" spans="1:47">
      <c r="B524" s="554" t="str">
        <f>IF($C$1="ENG","glazing Graphite / Bronze","скло Графіт / Бронза")</f>
        <v>скло Графіт / Бронза</v>
      </c>
      <c r="C524" s="555"/>
      <c r="D524" s="405">
        <f t="shared" si="68"/>
        <v>458.33333333333337</v>
      </c>
      <c r="E524" s="92">
        <f t="shared" si="69"/>
        <v>550</v>
      </c>
      <c r="F524" s="26"/>
      <c r="G524" s="26"/>
      <c r="H524" s="5"/>
      <c r="AC524" s="297">
        <v>550</v>
      </c>
      <c r="AD524" s="288">
        <v>550</v>
      </c>
      <c r="AE524" s="288">
        <f t="shared" si="70"/>
        <v>0</v>
      </c>
      <c r="AF524" s="288"/>
      <c r="AG524" s="288"/>
      <c r="AH524" s="288"/>
      <c r="AI524" s="288"/>
      <c r="AJ524" s="288"/>
      <c r="AK524" s="288"/>
      <c r="AL524" s="288"/>
    </row>
    <row r="525" spans="1:47">
      <c r="B525" s="554" t="str">
        <f>IF($C$1="ENG","door lock Soft","замок Soft")</f>
        <v>замок Soft</v>
      </c>
      <c r="C525" s="555"/>
      <c r="D525" s="405">
        <f t="shared" si="68"/>
        <v>458.33333333333337</v>
      </c>
      <c r="E525" s="92">
        <f t="shared" si="69"/>
        <v>550</v>
      </c>
      <c r="F525" s="26"/>
      <c r="G525" s="26"/>
      <c r="H525" s="5"/>
      <c r="AC525" s="297">
        <v>550</v>
      </c>
      <c r="AD525" s="288">
        <v>550</v>
      </c>
      <c r="AE525" s="288">
        <f t="shared" si="70"/>
        <v>0</v>
      </c>
      <c r="AF525" s="288"/>
      <c r="AG525" s="288"/>
      <c r="AH525" s="288"/>
      <c r="AI525" s="288"/>
      <c r="AJ525" s="288"/>
      <c r="AK525" s="288"/>
      <c r="AL525" s="288"/>
    </row>
    <row r="526" spans="1:47">
      <c r="B526" s="554" t="str">
        <f>IF($C$1="ENG","door lock Soft black","замок Soft чорн.")</f>
        <v>замок Soft чорн.</v>
      </c>
      <c r="C526" s="555"/>
      <c r="D526" s="405">
        <f t="shared" si="68"/>
        <v>566.66666666666674</v>
      </c>
      <c r="E526" s="92">
        <f t="shared" si="69"/>
        <v>680.00000000000011</v>
      </c>
      <c r="F526" s="26"/>
      <c r="G526" s="26"/>
      <c r="H526" s="5"/>
      <c r="AC526" s="297">
        <v>680</v>
      </c>
      <c r="AD526" s="288"/>
      <c r="AE526" s="288"/>
      <c r="AF526" s="288"/>
      <c r="AG526" s="288"/>
      <c r="AH526" s="288"/>
      <c r="AI526" s="288"/>
      <c r="AJ526" s="288"/>
      <c r="AK526" s="288"/>
      <c r="AL526" s="288"/>
    </row>
    <row r="527" spans="1:47">
      <c r="B527" s="554" t="str">
        <f>IF($C$1="ENG","door lock Magnet","замок Magnet")</f>
        <v>замок Magnet</v>
      </c>
      <c r="C527" s="555"/>
      <c r="D527" s="405">
        <f t="shared" si="68"/>
        <v>666.66666666666674</v>
      </c>
      <c r="E527" s="92">
        <f t="shared" si="69"/>
        <v>800.00000000000011</v>
      </c>
      <c r="F527" s="26"/>
      <c r="G527" s="26"/>
      <c r="H527" s="5"/>
      <c r="AC527" s="297">
        <v>800</v>
      </c>
      <c r="AD527" s="288">
        <v>800</v>
      </c>
      <c r="AE527" s="288">
        <f t="shared" ref="AE527" si="71">AD527/AC527-1</f>
        <v>0</v>
      </c>
      <c r="AF527" s="288"/>
      <c r="AG527" s="288"/>
      <c r="AH527" s="288"/>
      <c r="AI527" s="288"/>
      <c r="AJ527" s="288"/>
      <c r="AK527" s="288"/>
      <c r="AL527" s="288"/>
    </row>
    <row r="528" spans="1:47">
      <c r="B528" s="554" t="s">
        <v>66</v>
      </c>
      <c r="C528" s="555"/>
      <c r="D528" s="405">
        <f t="shared" si="68"/>
        <v>833.33333333333337</v>
      </c>
      <c r="E528" s="92">
        <f t="shared" si="69"/>
        <v>1000</v>
      </c>
      <c r="F528" s="26"/>
      <c r="G528" s="26"/>
      <c r="H528" s="5"/>
      <c r="AC528" s="297">
        <v>1000</v>
      </c>
      <c r="AD528" s="288"/>
      <c r="AE528" s="288"/>
      <c r="AF528" s="288"/>
      <c r="AG528" s="288"/>
      <c r="AH528" s="288"/>
      <c r="AI528" s="288"/>
      <c r="AJ528" s="288"/>
      <c r="AK528" s="288"/>
      <c r="AL528" s="288"/>
    </row>
    <row r="529" spans="2:38">
      <c r="B529" s="554" t="str">
        <f>IF($C$1="ENG","door handle-lock (for sliding doors)","ручка-замок (для дверей купе)")</f>
        <v>ручка-замок (для дверей купе)</v>
      </c>
      <c r="C529" s="555"/>
      <c r="D529" s="403">
        <f t="shared" si="68"/>
        <v>466.66666666666669</v>
      </c>
      <c r="E529" s="92">
        <f t="shared" si="69"/>
        <v>560</v>
      </c>
      <c r="F529" s="26"/>
      <c r="G529" s="26"/>
      <c r="I529" s="11"/>
      <c r="J529" s="11"/>
      <c r="K529" s="19"/>
      <c r="AC529" s="297">
        <v>560</v>
      </c>
      <c r="AD529" s="288">
        <v>560</v>
      </c>
      <c r="AE529" s="288">
        <f t="shared" ref="AE529:AE532" si="72">AD529/AC529-1</f>
        <v>0</v>
      </c>
      <c r="AF529" s="288"/>
      <c r="AG529" s="288"/>
      <c r="AH529" s="288"/>
      <c r="AI529" s="288"/>
      <c r="AJ529" s="288"/>
      <c r="AK529" s="288"/>
      <c r="AL529" s="288"/>
    </row>
    <row r="530" spans="2:38">
      <c r="B530" s="554" t="str">
        <f>IF($C$1="ENG","cylinder incert","циліндр несиметричний")</f>
        <v>циліндр несиметричний</v>
      </c>
      <c r="C530" s="555"/>
      <c r="D530" s="403">
        <f t="shared" si="68"/>
        <v>325</v>
      </c>
      <c r="E530" s="92">
        <f t="shared" si="69"/>
        <v>390</v>
      </c>
      <c r="F530" s="26"/>
      <c r="G530" s="26"/>
      <c r="AC530" s="297">
        <v>390</v>
      </c>
      <c r="AD530" s="288">
        <v>390</v>
      </c>
      <c r="AE530" s="288">
        <f t="shared" si="72"/>
        <v>0</v>
      </c>
      <c r="AF530" s="288"/>
      <c r="AG530" s="288"/>
      <c r="AH530" s="288"/>
      <c r="AI530" s="288"/>
      <c r="AJ530" s="288"/>
      <c r="AK530" s="288"/>
      <c r="AL530" s="288"/>
    </row>
    <row r="531" spans="2:38">
      <c r="B531" s="554" t="str">
        <f>IF($C$1="ENG","door hindge Prestige (1 unit)","завіса Prestige (1 шт)")</f>
        <v>завіса Prestige (1 шт)</v>
      </c>
      <c r="C531" s="555"/>
      <c r="D531" s="406">
        <f t="shared" si="68"/>
        <v>216.66666666666669</v>
      </c>
      <c r="E531" s="92">
        <f t="shared" si="69"/>
        <v>260</v>
      </c>
      <c r="F531" s="26"/>
      <c r="G531" s="26"/>
      <c r="AC531" s="297">
        <v>260</v>
      </c>
      <c r="AD531" s="288">
        <v>260</v>
      </c>
      <c r="AE531" s="288">
        <f t="shared" si="72"/>
        <v>0</v>
      </c>
      <c r="AF531" s="288"/>
      <c r="AG531" s="288"/>
      <c r="AH531" s="288"/>
      <c r="AI531" s="288"/>
      <c r="AJ531" s="288"/>
      <c r="AK531" s="288"/>
      <c r="AL531" s="288"/>
    </row>
    <row r="532" spans="2:38">
      <c r="B532" s="554" t="str">
        <f>IF($C$1="ENG","door hinge caps (1 set)","накладка на завіси (1 к-т)")</f>
        <v>накладка на завіси (1 к-т)</v>
      </c>
      <c r="C532" s="555"/>
      <c r="D532" s="406">
        <f t="shared" si="68"/>
        <v>66.666666666666671</v>
      </c>
      <c r="E532" s="92">
        <f t="shared" si="69"/>
        <v>80</v>
      </c>
      <c r="F532" s="26"/>
      <c r="G532" s="26"/>
      <c r="AC532" s="297">
        <v>80</v>
      </c>
      <c r="AD532" s="288">
        <v>80</v>
      </c>
      <c r="AE532" s="288">
        <f t="shared" si="72"/>
        <v>0</v>
      </c>
      <c r="AF532" s="288"/>
      <c r="AG532" s="288"/>
      <c r="AH532" s="288"/>
      <c r="AI532" s="288"/>
      <c r="AJ532" s="288"/>
      <c r="AK532" s="288"/>
      <c r="AL532" s="288"/>
    </row>
    <row r="533" spans="2:38">
      <c r="B533" s="554" t="str">
        <f>IF($C$1="ENG","door handle","дверна ручка")</f>
        <v>дверна ручка</v>
      </c>
      <c r="C533" s="555"/>
      <c r="D533" s="407" t="str">
        <f t="shared" si="68"/>
        <v/>
      </c>
      <c r="E533" s="246" t="str">
        <f>IF($C$1="ENG","see Handles Price","див. Таблицю Ручки")</f>
        <v>див. Таблицю Ручки</v>
      </c>
      <c r="F533" s="26"/>
      <c r="G533" s="26"/>
      <c r="AC533" s="288"/>
      <c r="AD533" s="288"/>
      <c r="AE533" s="288"/>
      <c r="AF533" s="288"/>
      <c r="AG533" s="288"/>
      <c r="AH533" s="288"/>
      <c r="AI533" s="288"/>
      <c r="AJ533" s="288"/>
      <c r="AK533" s="288"/>
      <c r="AL533" s="288"/>
    </row>
    <row r="534" spans="2:38" ht="14.25" customHeight="1">
      <c r="C534" s="244"/>
      <c r="D534" s="26"/>
      <c r="E534" s="26"/>
      <c r="F534" s="26"/>
      <c r="G534" s="26"/>
      <c r="H534" s="5"/>
    </row>
    <row r="535" spans="2:38" ht="14.25" customHeight="1">
      <c r="C535" s="244"/>
      <c r="D535" s="26"/>
      <c r="E535" s="26"/>
      <c r="F535" s="26"/>
      <c r="G535" s="26"/>
      <c r="H535" s="5"/>
    </row>
    <row r="536" spans="2:38" ht="14.25" customHeight="1">
      <c r="C536" s="244"/>
      <c r="D536" s="26"/>
      <c r="E536" s="26"/>
      <c r="F536" s="26"/>
      <c r="G536" s="26"/>
      <c r="H536" s="5"/>
    </row>
    <row r="537" spans="2:38" ht="14.25" customHeight="1">
      <c r="C537" s="244"/>
      <c r="D537" s="26"/>
      <c r="E537" s="26"/>
      <c r="F537" s="26"/>
      <c r="G537" s="26"/>
      <c r="H537" s="5"/>
    </row>
    <row r="538" spans="2:38" ht="14.25" customHeight="1">
      <c r="C538" s="244"/>
      <c r="D538" s="26"/>
      <c r="E538" s="26"/>
      <c r="F538" s="26"/>
      <c r="G538" s="26"/>
      <c r="H538" s="5"/>
    </row>
    <row r="539" spans="2:38" ht="14.25" customHeight="1">
      <c r="C539" s="244"/>
      <c r="D539" s="26"/>
      <c r="E539" s="26"/>
      <c r="F539" s="26"/>
      <c r="G539" s="26"/>
      <c r="H539" s="5"/>
    </row>
    <row r="540" spans="2:38" ht="14.25" customHeight="1">
      <c r="C540" s="244"/>
      <c r="D540" s="26"/>
      <c r="E540" s="26"/>
      <c r="F540" s="26"/>
      <c r="G540" s="26"/>
      <c r="H540" s="5"/>
    </row>
    <row r="541" spans="2:38" ht="14.25" customHeight="1">
      <c r="C541" s="244"/>
      <c r="D541" s="26"/>
      <c r="E541" s="26"/>
      <c r="F541" s="26"/>
      <c r="G541" s="26"/>
      <c r="H541" s="5"/>
    </row>
    <row r="542" spans="2:38" ht="14.25" customHeight="1">
      <c r="C542" s="244"/>
      <c r="D542" s="26"/>
      <c r="E542" s="26"/>
      <c r="F542" s="26"/>
      <c r="G542" s="26"/>
      <c r="H542" s="5"/>
    </row>
    <row r="543" spans="2:38" ht="14.25" customHeight="1">
      <c r="C543" s="244"/>
      <c r="D543" s="26"/>
      <c r="E543" s="26"/>
      <c r="F543" s="26"/>
      <c r="G543" s="26"/>
      <c r="H543" s="5"/>
    </row>
    <row r="544" spans="2:38" ht="14.25" customHeight="1">
      <c r="C544" s="244"/>
      <c r="D544" s="26"/>
      <c r="E544" s="26"/>
      <c r="F544" s="26"/>
      <c r="G544" s="26"/>
      <c r="H544" s="5"/>
    </row>
    <row r="545" spans="3:8" ht="14.25" customHeight="1">
      <c r="C545" s="244"/>
      <c r="D545" s="26"/>
      <c r="E545" s="26"/>
      <c r="F545" s="26"/>
      <c r="G545" s="26"/>
      <c r="H545" s="5"/>
    </row>
    <row r="546" spans="3:8" ht="14.25" customHeight="1">
      <c r="C546" s="244"/>
      <c r="D546" s="26"/>
      <c r="E546" s="26"/>
      <c r="F546" s="26"/>
      <c r="G546" s="26"/>
      <c r="H546" s="5"/>
    </row>
    <row r="547" spans="3:8" ht="14.25" customHeight="1">
      <c r="C547" s="244"/>
      <c r="D547" s="26"/>
      <c r="E547" s="26"/>
      <c r="F547" s="26"/>
      <c r="G547" s="26"/>
      <c r="H547" s="5"/>
    </row>
    <row r="548" spans="3:8" ht="14.25" customHeight="1">
      <c r="C548" s="244"/>
      <c r="D548" s="26"/>
      <c r="E548" s="26"/>
      <c r="F548" s="26"/>
      <c r="G548" s="26"/>
      <c r="H548" s="5"/>
    </row>
    <row r="549" spans="3:8" ht="14.25" customHeight="1">
      <c r="C549" s="244"/>
      <c r="D549" s="26"/>
      <c r="E549" s="26"/>
      <c r="F549" s="26"/>
      <c r="G549" s="26"/>
      <c r="H549" s="5"/>
    </row>
    <row r="550" spans="3:8" ht="14.25" customHeight="1">
      <c r="C550" s="244"/>
      <c r="D550" s="26"/>
      <c r="E550" s="26"/>
      <c r="F550" s="26"/>
      <c r="G550" s="26"/>
      <c r="H550" s="5"/>
    </row>
    <row r="551" spans="3:8" ht="14.25" customHeight="1">
      <c r="C551" s="244"/>
      <c r="D551" s="26"/>
      <c r="E551" s="26"/>
      <c r="F551" s="26"/>
      <c r="G551" s="26"/>
      <c r="H551" s="5"/>
    </row>
    <row r="552" spans="3:8" ht="14.25" customHeight="1">
      <c r="C552" s="244"/>
      <c r="D552" s="26"/>
      <c r="E552" s="26"/>
      <c r="F552" s="26"/>
      <c r="G552" s="26"/>
      <c r="H552" s="5"/>
    </row>
    <row r="553" spans="3:8" ht="14.25" customHeight="1">
      <c r="C553" s="244"/>
      <c r="D553" s="26"/>
      <c r="E553" s="26"/>
      <c r="F553" s="26"/>
      <c r="G553" s="26"/>
      <c r="H553" s="5"/>
    </row>
    <row r="554" spans="3:8" ht="14.25" customHeight="1">
      <c r="C554" s="244"/>
      <c r="D554" s="26"/>
      <c r="E554" s="26"/>
      <c r="F554" s="26"/>
      <c r="G554" s="26"/>
      <c r="H554" s="5"/>
    </row>
    <row r="555" spans="3:8" ht="14.25" customHeight="1">
      <c r="C555" s="244"/>
      <c r="D555" s="26"/>
      <c r="E555" s="26"/>
      <c r="F555" s="26"/>
      <c r="G555" s="26"/>
      <c r="H555" s="5"/>
    </row>
    <row r="556" spans="3:8" ht="14.25" customHeight="1">
      <c r="C556" s="244"/>
      <c r="D556" s="26"/>
      <c r="E556" s="26"/>
      <c r="F556" s="26"/>
      <c r="G556" s="26"/>
      <c r="H556" s="5"/>
    </row>
    <row r="557" spans="3:8" ht="14.25" customHeight="1">
      <c r="C557" s="244"/>
      <c r="D557" s="26"/>
      <c r="E557" s="26"/>
      <c r="F557" s="26"/>
      <c r="G557" s="26"/>
      <c r="H557" s="5"/>
    </row>
    <row r="558" spans="3:8" ht="14.25" customHeight="1">
      <c r="C558" s="244"/>
      <c r="D558" s="26"/>
      <c r="E558" s="26"/>
      <c r="F558" s="26"/>
      <c r="G558" s="26"/>
      <c r="H558" s="5"/>
    </row>
    <row r="559" spans="3:8" ht="14.25" customHeight="1">
      <c r="C559" s="244"/>
      <c r="D559" s="26"/>
      <c r="E559" s="26"/>
      <c r="F559" s="26"/>
      <c r="G559" s="26"/>
      <c r="H559" s="5"/>
    </row>
    <row r="560" spans="3:8" ht="14.25" customHeight="1">
      <c r="C560" s="244"/>
      <c r="D560" s="26"/>
      <c r="E560" s="26"/>
      <c r="F560" s="26"/>
      <c r="G560" s="26"/>
      <c r="H560" s="5"/>
    </row>
    <row r="561" spans="3:8" ht="14.25" customHeight="1">
      <c r="C561" s="244"/>
      <c r="D561" s="26"/>
      <c r="E561" s="26"/>
      <c r="F561" s="26"/>
      <c r="G561" s="26"/>
      <c r="H561" s="5"/>
    </row>
    <row r="562" spans="3:8" ht="14.25" customHeight="1">
      <c r="C562" s="244"/>
      <c r="D562" s="26"/>
      <c r="E562" s="26"/>
      <c r="F562" s="26"/>
      <c r="G562" s="26"/>
      <c r="H562" s="5"/>
    </row>
    <row r="563" spans="3:8" ht="14.25" customHeight="1">
      <c r="C563" s="244"/>
      <c r="D563" s="26"/>
      <c r="E563" s="26"/>
      <c r="F563" s="26"/>
      <c r="G563" s="26"/>
      <c r="H563" s="5"/>
    </row>
    <row r="564" spans="3:8" ht="14.25" customHeight="1">
      <c r="C564" s="244"/>
      <c r="D564" s="26"/>
      <c r="E564" s="26"/>
      <c r="F564" s="26"/>
      <c r="G564" s="26"/>
      <c r="H564" s="5"/>
    </row>
    <row r="565" spans="3:8" ht="14.25" customHeight="1">
      <c r="C565" s="244"/>
      <c r="D565" s="26"/>
      <c r="E565" s="26"/>
      <c r="F565" s="26"/>
      <c r="G565" s="26"/>
      <c r="H565" s="5"/>
    </row>
    <row r="566" spans="3:8" ht="14.25" customHeight="1">
      <c r="C566" s="244"/>
      <c r="D566" s="26"/>
      <c r="E566" s="26"/>
      <c r="F566" s="26"/>
      <c r="G566" s="26"/>
      <c r="H566" s="5"/>
    </row>
    <row r="567" spans="3:8" ht="14.25" customHeight="1">
      <c r="C567" s="244"/>
      <c r="D567" s="26"/>
      <c r="E567" s="26"/>
      <c r="F567" s="26"/>
      <c r="G567" s="26"/>
      <c r="H567" s="5"/>
    </row>
    <row r="568" spans="3:8" ht="14.25" customHeight="1">
      <c r="C568" s="244"/>
      <c r="D568" s="26"/>
      <c r="E568" s="26"/>
      <c r="F568" s="26"/>
      <c r="G568" s="26"/>
      <c r="H568" s="5"/>
    </row>
    <row r="569" spans="3:8" ht="14.25" customHeight="1">
      <c r="C569" s="244"/>
      <c r="D569" s="26"/>
      <c r="E569" s="26"/>
      <c r="F569" s="26"/>
      <c r="G569" s="26"/>
      <c r="H569" s="5"/>
    </row>
    <row r="570" spans="3:8" ht="14.25" customHeight="1">
      <c r="C570" s="244"/>
      <c r="D570" s="26"/>
      <c r="E570" s="26"/>
      <c r="F570" s="26"/>
      <c r="G570" s="26"/>
      <c r="H570" s="5"/>
    </row>
    <row r="571" spans="3:8" ht="14.25" customHeight="1">
      <c r="C571" s="244"/>
      <c r="D571" s="26"/>
      <c r="E571" s="26"/>
      <c r="F571" s="26"/>
      <c r="G571" s="26"/>
      <c r="H571" s="5"/>
    </row>
    <row r="572" spans="3:8" ht="14.25" customHeight="1">
      <c r="C572" s="244"/>
      <c r="D572" s="26"/>
      <c r="E572" s="26"/>
      <c r="F572" s="26"/>
      <c r="G572" s="26"/>
      <c r="H572" s="5"/>
    </row>
    <row r="573" spans="3:8" ht="14.25" customHeight="1">
      <c r="C573" s="244"/>
      <c r="D573" s="26"/>
      <c r="E573" s="26"/>
      <c r="F573" s="26"/>
      <c r="G573" s="26"/>
      <c r="H573" s="5"/>
    </row>
    <row r="574" spans="3:8" ht="14.25" customHeight="1">
      <c r="C574" s="244"/>
      <c r="D574" s="26"/>
      <c r="E574" s="26"/>
      <c r="F574" s="26"/>
      <c r="G574" s="26"/>
      <c r="H574" s="5"/>
    </row>
    <row r="575" spans="3:8" ht="14.25" customHeight="1">
      <c r="C575" s="244"/>
      <c r="D575" s="26"/>
      <c r="E575" s="26"/>
      <c r="F575" s="26"/>
      <c r="G575" s="26"/>
      <c r="H575" s="5"/>
    </row>
    <row r="576" spans="3:8" ht="14.25" customHeight="1">
      <c r="C576" s="244"/>
      <c r="D576" s="26"/>
      <c r="E576" s="26"/>
      <c r="F576" s="26"/>
      <c r="G576" s="26"/>
      <c r="H576" s="5"/>
    </row>
    <row r="577" spans="1:47" ht="14.25" customHeight="1">
      <c r="C577" s="244"/>
      <c r="D577" s="26"/>
      <c r="E577" s="26"/>
      <c r="F577" s="26"/>
      <c r="G577" s="26"/>
      <c r="H577" s="5"/>
    </row>
    <row r="578" spans="1:47" ht="14.25" customHeight="1">
      <c r="C578" s="244"/>
      <c r="D578" s="26"/>
      <c r="E578" s="26"/>
      <c r="F578" s="26"/>
      <c r="G578" s="26"/>
      <c r="H578" s="5"/>
    </row>
    <row r="579" spans="1:47" ht="14.25" customHeight="1">
      <c r="C579" s="244"/>
      <c r="D579" s="26"/>
      <c r="E579" s="26"/>
      <c r="F579" s="26"/>
      <c r="G579" s="26"/>
      <c r="H579" s="5"/>
    </row>
    <row r="580" spans="1:47" ht="14.25" customHeight="1">
      <c r="C580" s="244"/>
      <c r="D580" s="26"/>
      <c r="E580" s="26"/>
      <c r="F580" s="26"/>
      <c r="G580" s="26"/>
      <c r="H580" s="5"/>
    </row>
    <row r="581" spans="1:47" ht="14.25" customHeight="1">
      <c r="C581" s="244"/>
      <c r="D581" s="26"/>
      <c r="E581" s="26"/>
      <c r="F581" s="26"/>
      <c r="G581" s="26"/>
      <c r="H581" s="5"/>
    </row>
    <row r="582" spans="1:47" s="8" customFormat="1">
      <c r="B582" s="550" t="str">
        <f>TITLE!C16</f>
        <v>Полотна збірні: КЛАСІК</v>
      </c>
      <c r="C582" s="550"/>
      <c r="D582" s="117"/>
      <c r="E582" s="117"/>
      <c r="F582" s="117"/>
      <c r="G582" s="117"/>
      <c r="H582" s="552"/>
      <c r="I582" s="552"/>
      <c r="J582" s="120"/>
      <c r="K582" s="120"/>
      <c r="L582" s="120"/>
      <c r="M582" s="120"/>
      <c r="N582" s="120"/>
      <c r="O582" s="120"/>
      <c r="P582" s="120"/>
      <c r="Q582" s="120"/>
      <c r="R582" s="120"/>
      <c r="S582" s="545" t="str">
        <f>IF($C$1="ENG",CONCATENATE("up to: ",B326),CONCATENATE("вгору до: ",B326))</f>
        <v xml:space="preserve">вгору до: </v>
      </c>
      <c r="T582" s="546"/>
      <c r="U582" s="546"/>
      <c r="V582" s="546"/>
      <c r="W582" s="546"/>
      <c r="AN582" s="279"/>
      <c r="AO582" s="279"/>
      <c r="AP582" s="279"/>
      <c r="AQ582" s="279"/>
      <c r="AR582" s="279"/>
      <c r="AS582" s="279"/>
      <c r="AT582" s="279"/>
    </row>
    <row r="583" spans="1:47" s="8" customFormat="1" ht="5.0999999999999996" customHeight="1">
      <c r="B583" s="116"/>
      <c r="C583" s="418"/>
      <c r="D583" s="9"/>
      <c r="E583" s="9"/>
      <c r="F583" s="9"/>
      <c r="G583" s="9"/>
      <c r="H583" s="119"/>
      <c r="S583" s="412"/>
      <c r="T583" s="412"/>
      <c r="U583" s="412"/>
      <c r="V583" s="412"/>
      <c r="AM583" s="279"/>
      <c r="AN583" s="279"/>
      <c r="AO583" s="279"/>
      <c r="AP583" s="279"/>
      <c r="AQ583" s="279"/>
      <c r="AR583" s="279"/>
      <c r="AS583" s="279"/>
    </row>
    <row r="584" spans="1:47" s="8" customFormat="1" ht="12.75" customHeight="1">
      <c r="B584" s="556" t="str">
        <f>IF($C$1="ENG","model","модель")</f>
        <v>модель</v>
      </c>
      <c r="C584" s="121" t="str">
        <f>IF($C$1="ENG","cover:","покриття:")</f>
        <v>покриття:</v>
      </c>
      <c r="D584" s="538" t="str">
        <f>IF($C$1="ENG","UNI-MAT","UNI-MAT")</f>
        <v>UNI-MAT</v>
      </c>
      <c r="E584" s="539"/>
      <c r="F584" s="538" t="str">
        <f>IF($C$1="ENG","RESIST","RESIST")</f>
        <v>RESIST</v>
      </c>
      <c r="G584" s="539"/>
      <c r="H584" s="1"/>
      <c r="T584" s="412"/>
      <c r="U584" s="412"/>
      <c r="V584" s="412"/>
      <c r="W584" s="412"/>
      <c r="AN584" s="279"/>
      <c r="AO584" s="279"/>
      <c r="AP584" s="279"/>
      <c r="AQ584" s="279"/>
      <c r="AR584" s="279"/>
      <c r="AS584" s="279"/>
      <c r="AT584" s="279"/>
    </row>
    <row r="585" spans="1:47" s="8" customFormat="1" ht="24.95" customHeight="1">
      <c r="B585" s="557"/>
      <c r="C585" s="122" t="str">
        <f>IF($C$1="ENG","filling:","заповнення:")</f>
        <v>заповнення:</v>
      </c>
      <c r="D585" s="540" t="str">
        <f>IF($C$1="ENG","softwood","клеєний сосновий брус")</f>
        <v>клеєний сосновий брус</v>
      </c>
      <c r="E585" s="541"/>
      <c r="F585" s="540" t="str">
        <f>IF($C$1="ENG","softwood","клеєний сосновий брус")</f>
        <v>клеєний сосновий брус</v>
      </c>
      <c r="G585" s="541"/>
      <c r="H585" s="1"/>
      <c r="I585" s="1"/>
      <c r="U585" s="412"/>
      <c r="V585" s="412"/>
      <c r="W585" s="412"/>
      <c r="X585" s="412"/>
      <c r="AE585" s="381" t="e">
        <f>AD587/AC587-1</f>
        <v>#DIV/0!</v>
      </c>
      <c r="AF585" s="381">
        <f>AE587/AD587-1</f>
        <v>3.9886039886039892E-2</v>
      </c>
      <c r="AG585" s="381">
        <f>AF587/AE587-1</f>
        <v>0.10273972602739723</v>
      </c>
      <c r="AH585" s="381">
        <f>AG587/AF587-1</f>
        <v>5.2173913043478182E-2</v>
      </c>
      <c r="AO585" s="279"/>
      <c r="AP585" s="279"/>
      <c r="AQ585" s="279"/>
      <c r="AR585" s="279"/>
      <c r="AS585" s="279"/>
      <c r="AT585" s="279"/>
      <c r="AU585" s="279"/>
    </row>
    <row r="586" spans="1:47" ht="12.75" customHeight="1">
      <c r="A586" s="8"/>
      <c r="B586" s="558"/>
      <c r="C586" s="123" t="str">
        <f>IF($C$1="ENG","glazing:","скління:")</f>
        <v>скління:</v>
      </c>
      <c r="D586" s="542" t="str">
        <f>IF($C$1="ENG","Satin","Сатин")</f>
        <v>Сатин</v>
      </c>
      <c r="E586" s="543"/>
      <c r="F586" s="542" t="str">
        <f>IF($C$1="ENG","Satin","Сатин")</f>
        <v>Сатин</v>
      </c>
      <c r="G586" s="543"/>
      <c r="AN586" s="1"/>
      <c r="AU586" s="30"/>
    </row>
    <row r="587" spans="1:47" ht="35.1" customHeight="1">
      <c r="A587" s="8"/>
      <c r="B587" s="16" t="s">
        <v>61</v>
      </c>
      <c r="C587" s="17"/>
      <c r="D587" s="18">
        <f>IF(AD587="","",(1-$W$2)*(AD587/1.2))</f>
        <v>5850</v>
      </c>
      <c r="E587" s="66">
        <f>IF($W$5=0.2,D587*1.2,D587)/$W$4</f>
        <v>7020</v>
      </c>
      <c r="F587" s="18">
        <f>IF(AE587="","",(1-$W$2)*(AE587/1.2))</f>
        <v>6083.3333333333339</v>
      </c>
      <c r="G587" s="66">
        <f>IF($W$5=0.2,F587*1.2,F587)/$W$4</f>
        <v>7300.0000000000009</v>
      </c>
      <c r="L587" s="103"/>
      <c r="M587" s="103"/>
      <c r="N587" s="103"/>
      <c r="O587" s="103"/>
      <c r="P587" s="103"/>
      <c r="Q587" s="103"/>
      <c r="R587" s="103"/>
      <c r="S587" s="103"/>
      <c r="U587" s="103"/>
      <c r="V587" s="20"/>
      <c r="W587" s="103"/>
      <c r="X587" s="20"/>
      <c r="Y587" s="103"/>
      <c r="Z587" s="103"/>
      <c r="AA587" s="103"/>
      <c r="AB587" s="103"/>
      <c r="AC587" s="331"/>
      <c r="AD587" s="389">
        <v>7020</v>
      </c>
      <c r="AE587" s="331">
        <v>7300</v>
      </c>
      <c r="AF587" s="331">
        <v>8050</v>
      </c>
      <c r="AG587" s="331">
        <v>8470</v>
      </c>
      <c r="AH587" s="288">
        <v>6230</v>
      </c>
      <c r="AI587" s="288" t="e">
        <f>AH587/AC587-1</f>
        <v>#DIV/0!</v>
      </c>
      <c r="AJ587" s="288">
        <v>7100</v>
      </c>
      <c r="AK587" s="288">
        <f>AJ587/AD587-1</f>
        <v>1.139601139601143E-2</v>
      </c>
      <c r="AL587" s="288">
        <v>7390</v>
      </c>
      <c r="AM587" s="288">
        <f>AL587/AE587-1</f>
        <v>1.2328767123287676E-2</v>
      </c>
      <c r="AN587" s="288">
        <v>8050</v>
      </c>
      <c r="AO587" s="288">
        <f>AN587/AF587-1</f>
        <v>0</v>
      </c>
      <c r="AP587" s="288">
        <v>8470</v>
      </c>
      <c r="AQ587" s="288">
        <f>AP587/AG587-1</f>
        <v>0</v>
      </c>
    </row>
    <row r="588" spans="1:47" ht="35.1" customHeight="1">
      <c r="A588" s="8"/>
      <c r="B588" s="16" t="s">
        <v>62</v>
      </c>
      <c r="C588" s="17"/>
      <c r="D588" s="18">
        <f>IF(AD588="","",(1-$W$2)*(AD588/1.2))</f>
        <v>5691.666666666667</v>
      </c>
      <c r="E588" s="66">
        <f>IF($W$5=0.2,D588*1.2,D588)/$W$4</f>
        <v>6830</v>
      </c>
      <c r="F588" s="18">
        <f>IF(AE588="","",(1-$W$2)*(AE588/1.2))</f>
        <v>5916.666666666667</v>
      </c>
      <c r="G588" s="66">
        <f>IF($W$5=0.2,F588*1.2,F588)/$W$4</f>
        <v>7100</v>
      </c>
      <c r="L588" s="103"/>
      <c r="M588" s="103"/>
      <c r="N588" s="103"/>
      <c r="O588" s="103"/>
      <c r="P588" s="103"/>
      <c r="Q588" s="103"/>
      <c r="R588" s="103"/>
      <c r="S588" s="103"/>
      <c r="U588" s="103"/>
      <c r="V588" s="20"/>
      <c r="W588" s="103"/>
      <c r="X588" s="20"/>
      <c r="Y588" s="103"/>
      <c r="Z588" s="103"/>
      <c r="AA588" s="103"/>
      <c r="AB588" s="103"/>
      <c r="AC588" s="331"/>
      <c r="AD588" s="389">
        <v>6830</v>
      </c>
      <c r="AE588" s="331">
        <v>7100</v>
      </c>
      <c r="AF588" s="331">
        <v>8050</v>
      </c>
      <c r="AG588" s="331">
        <v>8470</v>
      </c>
      <c r="AH588" s="288">
        <v>6230</v>
      </c>
      <c r="AI588" s="288" t="e">
        <f t="shared" ref="AI588:AI591" si="73">AH588/AC588-1</f>
        <v>#DIV/0!</v>
      </c>
      <c r="AJ588" s="288">
        <v>7100</v>
      </c>
      <c r="AK588" s="288">
        <f>AJ588/AD588-1</f>
        <v>3.9531478770131745E-2</v>
      </c>
      <c r="AL588" s="288">
        <v>7390</v>
      </c>
      <c r="AM588" s="288">
        <f t="shared" ref="AM588:AM591" si="74">AL588/AE588-1</f>
        <v>4.0845070422535157E-2</v>
      </c>
      <c r="AN588" s="288">
        <v>8050</v>
      </c>
      <c r="AO588" s="288">
        <f t="shared" ref="AO588:AO591" si="75">AN588/AF588-1</f>
        <v>0</v>
      </c>
      <c r="AP588" s="288">
        <v>8470</v>
      </c>
      <c r="AQ588" s="288">
        <f t="shared" ref="AQ588:AQ591" si="76">AP588/AG588-1</f>
        <v>0</v>
      </c>
    </row>
    <row r="589" spans="1:47" ht="35.1" customHeight="1">
      <c r="A589" s="8"/>
      <c r="B589" s="106" t="s">
        <v>63</v>
      </c>
      <c r="C589" s="321"/>
      <c r="D589" s="18">
        <f t="shared" ref="D589:D590" si="77">IF(AD589="","",(1-$W$2)*(AD589/1.2))</f>
        <v>6075</v>
      </c>
      <c r="E589" s="66">
        <f t="shared" ref="E589:E590" si="78">IF($W$5=0.2,D589*1.2,D589)/$W$4</f>
        <v>7290</v>
      </c>
      <c r="F589" s="18">
        <f t="shared" ref="F589:F590" si="79">IF(AE589="","",(1-$W$2)*(AE589/1.2))</f>
        <v>6316.666666666667</v>
      </c>
      <c r="G589" s="66">
        <f t="shared" ref="G589:G590" si="80">IF($W$5=0.2,F589*1.2,F589)/$W$4</f>
        <v>7580</v>
      </c>
      <c r="L589" s="103"/>
      <c r="M589" s="103"/>
      <c r="N589" s="103"/>
      <c r="O589" s="103"/>
      <c r="P589" s="103"/>
      <c r="Q589" s="103"/>
      <c r="R589" s="103"/>
      <c r="S589" s="103"/>
      <c r="U589" s="103"/>
      <c r="V589" s="20"/>
      <c r="W589" s="103"/>
      <c r="X589" s="20"/>
      <c r="Y589" s="103"/>
      <c r="Z589" s="103"/>
      <c r="AA589" s="103"/>
      <c r="AB589" s="103"/>
      <c r="AC589" s="331"/>
      <c r="AD589" s="389">
        <v>7290</v>
      </c>
      <c r="AE589" s="331">
        <v>7580</v>
      </c>
      <c r="AF589" s="331"/>
      <c r="AG589" s="331"/>
      <c r="AH589" s="288"/>
      <c r="AI589" s="288"/>
      <c r="AJ589" s="288"/>
      <c r="AK589" s="288"/>
      <c r="AL589" s="288"/>
      <c r="AM589" s="288"/>
      <c r="AN589" s="288"/>
      <c r="AO589" s="288"/>
      <c r="AP589" s="288"/>
      <c r="AQ589" s="288"/>
    </row>
    <row r="590" spans="1:47" ht="35.1" customHeight="1">
      <c r="A590" s="8"/>
      <c r="B590" s="106" t="s">
        <v>64</v>
      </c>
      <c r="C590" s="321"/>
      <c r="D590" s="18">
        <f t="shared" si="77"/>
        <v>5883.3333333333339</v>
      </c>
      <c r="E590" s="66">
        <f t="shared" si="78"/>
        <v>7060.0000000000009</v>
      </c>
      <c r="F590" s="18">
        <f t="shared" si="79"/>
        <v>6116.666666666667</v>
      </c>
      <c r="G590" s="66">
        <f t="shared" si="80"/>
        <v>7340</v>
      </c>
      <c r="L590" s="103"/>
      <c r="M590" s="103"/>
      <c r="N590" s="103"/>
      <c r="O590" s="103"/>
      <c r="P590" s="103"/>
      <c r="Q590" s="103"/>
      <c r="R590" s="103"/>
      <c r="S590" s="103"/>
      <c r="U590" s="103"/>
      <c r="V590" s="20"/>
      <c r="W590" s="103"/>
      <c r="X590" s="20"/>
      <c r="Y590" s="103"/>
      <c r="Z590" s="103"/>
      <c r="AA590" s="103"/>
      <c r="AB590" s="103"/>
      <c r="AC590" s="331"/>
      <c r="AD590" s="389">
        <v>7060</v>
      </c>
      <c r="AE590" s="331">
        <v>7340</v>
      </c>
      <c r="AF590" s="331"/>
      <c r="AG590" s="331"/>
      <c r="AH590" s="288"/>
      <c r="AI590" s="288"/>
      <c r="AJ590" s="288"/>
      <c r="AK590" s="288"/>
      <c r="AL590" s="288"/>
      <c r="AM590" s="288"/>
      <c r="AN590" s="288"/>
      <c r="AO590" s="288"/>
      <c r="AP590" s="288"/>
      <c r="AQ590" s="288"/>
    </row>
    <row r="591" spans="1:47" ht="35.1" customHeight="1">
      <c r="A591" s="8"/>
      <c r="B591" s="23" t="s">
        <v>65</v>
      </c>
      <c r="C591" s="24"/>
      <c r="D591" s="25">
        <f>IF(AD591="","",(1-$W$2)*(AD591/1.2))</f>
        <v>6325</v>
      </c>
      <c r="E591" s="69">
        <f>IF($W$5=0.2,D591*1.2,D591)/$W$4</f>
        <v>7590</v>
      </c>
      <c r="F591" s="25">
        <f>IF(AE591="","",(1-$W$2)*(AE591/1.2))</f>
        <v>6583.3333333333339</v>
      </c>
      <c r="G591" s="69">
        <f>IF($W$5=0.2,F591*1.2,F591)/$W$4</f>
        <v>7900</v>
      </c>
      <c r="L591" s="103"/>
      <c r="M591" s="103"/>
      <c r="N591" s="103"/>
      <c r="O591" s="103"/>
      <c r="P591" s="103"/>
      <c r="Q591" s="103"/>
      <c r="R591" s="103"/>
      <c r="S591" s="103"/>
      <c r="U591" s="103"/>
      <c r="V591" s="20"/>
      <c r="W591" s="103"/>
      <c r="X591" s="20"/>
      <c r="Y591" s="103"/>
      <c r="Z591" s="103"/>
      <c r="AA591" s="103"/>
      <c r="AB591" s="103"/>
      <c r="AC591" s="331"/>
      <c r="AD591" s="389">
        <v>7590</v>
      </c>
      <c r="AE591" s="331">
        <v>7900</v>
      </c>
      <c r="AF591" s="331">
        <v>8050</v>
      </c>
      <c r="AG591" s="331">
        <v>8470</v>
      </c>
      <c r="AH591" s="288">
        <v>6230</v>
      </c>
      <c r="AI591" s="288" t="e">
        <f t="shared" si="73"/>
        <v>#DIV/0!</v>
      </c>
      <c r="AJ591" s="288">
        <v>7100</v>
      </c>
      <c r="AK591" s="288">
        <f t="shared" ref="AK591" si="81">AJ591/AD591-1</f>
        <v>-6.4558629776021115E-2</v>
      </c>
      <c r="AL591" s="288">
        <v>7390</v>
      </c>
      <c r="AM591" s="288">
        <f t="shared" si="74"/>
        <v>-6.4556962025316467E-2</v>
      </c>
      <c r="AN591" s="288">
        <v>8050</v>
      </c>
      <c r="AO591" s="288">
        <f t="shared" si="75"/>
        <v>0</v>
      </c>
      <c r="AP591" s="288">
        <v>8470</v>
      </c>
      <c r="AQ591" s="288">
        <f t="shared" si="76"/>
        <v>0</v>
      </c>
    </row>
    <row r="592" spans="1:47">
      <c r="C592" s="244"/>
      <c r="D592" s="26"/>
      <c r="E592" s="57"/>
      <c r="F592" s="26"/>
      <c r="G592" s="57"/>
      <c r="H592" s="10"/>
      <c r="I592" s="8"/>
      <c r="J592" s="8"/>
      <c r="K592" s="8"/>
    </row>
    <row r="593" spans="2:38">
      <c r="B593" s="211" t="str">
        <f>IF($C$1="ENG","For additonal charge:","Послуги за додаткову плату:")</f>
        <v>Послуги за додаткову плату:</v>
      </c>
      <c r="C593" s="419"/>
      <c r="D593" s="212"/>
      <c r="E593" s="213"/>
      <c r="F593" s="26"/>
      <c r="G593" s="57"/>
      <c r="H593" s="10"/>
      <c r="I593" s="8"/>
      <c r="J593" s="8"/>
      <c r="K593" s="8"/>
    </row>
    <row r="594" spans="2:38" ht="5.0999999999999996" customHeight="1">
      <c r="B594" s="27"/>
      <c r="C594" s="244"/>
      <c r="D594" s="26"/>
      <c r="E594" s="57"/>
      <c r="F594" s="26"/>
      <c r="G594" s="57"/>
      <c r="H594" s="10"/>
      <c r="I594" s="8"/>
      <c r="J594" s="8"/>
      <c r="K594" s="8"/>
    </row>
    <row r="595" spans="2:38">
      <c r="B595" s="561" t="str">
        <f>IF($C$1="ENG","door leaf with width 100","полотно розміром 100")</f>
        <v>полотно розміром 100</v>
      </c>
      <c r="C595" s="562"/>
      <c r="D595" s="408">
        <f t="shared" ref="D595:D606" si="82">IF(AC595="","",(1-$W$2)*(AC595/1.2))</f>
        <v>600</v>
      </c>
      <c r="E595" s="91">
        <f>IF($W$5=0.2,D595*1.2,D595)/$W$4</f>
        <v>720</v>
      </c>
      <c r="F595" s="26"/>
      <c r="G595" s="26"/>
      <c r="H595" s="10"/>
      <c r="I595" s="8"/>
      <c r="J595" s="8"/>
      <c r="K595" s="8"/>
      <c r="AC595" s="297">
        <v>720</v>
      </c>
      <c r="AD595" s="288">
        <v>720</v>
      </c>
      <c r="AE595" s="288">
        <f>AD595/AC595-1</f>
        <v>0</v>
      </c>
      <c r="AF595" s="288"/>
      <c r="AG595" s="288"/>
      <c r="AH595" s="288"/>
      <c r="AI595" s="288"/>
      <c r="AJ595" s="288"/>
      <c r="AK595" s="288"/>
      <c r="AL595" s="288"/>
    </row>
    <row r="596" spans="2:38">
      <c r="B596" s="561" t="str">
        <f>IF($C$1="ENG","Ventilation cut","вентиляційний підріз")</f>
        <v>вентиляційний підріз</v>
      </c>
      <c r="C596" s="562"/>
      <c r="D596" s="403">
        <f t="shared" si="82"/>
        <v>141.66666666666669</v>
      </c>
      <c r="E596" s="66">
        <f t="shared" ref="E596:E605" si="83">IF($W$5=0.2,D596*1.2,D596)/$W$4</f>
        <v>170.00000000000003</v>
      </c>
      <c r="F596" s="26"/>
      <c r="G596" s="26"/>
      <c r="I596" s="59"/>
      <c r="J596" s="28"/>
      <c r="AC596" s="297">
        <v>170</v>
      </c>
      <c r="AD596" s="288">
        <v>170</v>
      </c>
      <c r="AE596" s="288">
        <f t="shared" ref="AE596:AE605" si="84">AD596/AC596-1</f>
        <v>0</v>
      </c>
      <c r="AF596" s="288"/>
      <c r="AG596" s="288"/>
      <c r="AH596" s="288"/>
      <c r="AI596" s="288"/>
      <c r="AJ596" s="288"/>
      <c r="AK596" s="288"/>
      <c r="AL596" s="288"/>
    </row>
    <row r="597" spans="2:38">
      <c r="B597" s="554" t="str">
        <f>IF($C$1="ENG","glazing Graphite / Bronze","скло Графіт / Бронза")</f>
        <v>скло Графіт / Бронза</v>
      </c>
      <c r="C597" s="555"/>
      <c r="D597" s="405">
        <f t="shared" si="82"/>
        <v>458.33333333333337</v>
      </c>
      <c r="E597" s="92">
        <f t="shared" si="83"/>
        <v>550</v>
      </c>
      <c r="F597" s="26"/>
      <c r="G597" s="26"/>
      <c r="H597" s="5"/>
      <c r="AC597" s="297">
        <v>550</v>
      </c>
      <c r="AD597" s="288">
        <v>550</v>
      </c>
      <c r="AE597" s="288">
        <f t="shared" si="84"/>
        <v>0</v>
      </c>
      <c r="AF597" s="288"/>
      <c r="AG597" s="288"/>
      <c r="AH597" s="288"/>
      <c r="AI597" s="288"/>
      <c r="AJ597" s="288"/>
      <c r="AK597" s="288"/>
      <c r="AL597" s="288"/>
    </row>
    <row r="598" spans="2:38">
      <c r="B598" s="554" t="str">
        <f>IF($C$1="ENG","door lock Soft","замок Soft")</f>
        <v>замок Soft</v>
      </c>
      <c r="C598" s="555"/>
      <c r="D598" s="405">
        <f t="shared" si="82"/>
        <v>458.33333333333337</v>
      </c>
      <c r="E598" s="92">
        <f t="shared" si="83"/>
        <v>550</v>
      </c>
      <c r="F598" s="26"/>
      <c r="G598" s="26"/>
      <c r="H598" s="5"/>
      <c r="AC598" s="297">
        <v>550</v>
      </c>
      <c r="AD598" s="288">
        <v>550</v>
      </c>
      <c r="AE598" s="288">
        <f t="shared" si="84"/>
        <v>0</v>
      </c>
      <c r="AF598" s="288"/>
      <c r="AG598" s="288"/>
      <c r="AH598" s="288"/>
      <c r="AI598" s="288"/>
      <c r="AJ598" s="288"/>
      <c r="AK598" s="288"/>
      <c r="AL598" s="288"/>
    </row>
    <row r="599" spans="2:38">
      <c r="B599" s="554" t="str">
        <f>IF($C$1="ENG","door lock Soft black","замок Soft чорн.")</f>
        <v>замок Soft чорн.</v>
      </c>
      <c r="C599" s="555"/>
      <c r="D599" s="405">
        <f t="shared" ref="D599" si="85">IF(AC599="","",(1-$W$2)*(AC599/1.2))</f>
        <v>566.66666666666674</v>
      </c>
      <c r="E599" s="92">
        <f t="shared" ref="E599" si="86">IF($W$5=0.2,D599*1.2,D599)/$W$4</f>
        <v>680.00000000000011</v>
      </c>
      <c r="F599" s="26"/>
      <c r="G599" s="26"/>
      <c r="H599" s="5"/>
      <c r="AC599" s="297">
        <v>680</v>
      </c>
      <c r="AD599" s="288"/>
      <c r="AE599" s="288"/>
      <c r="AF599" s="288"/>
      <c r="AG599" s="288"/>
      <c r="AH599" s="288"/>
      <c r="AI599" s="288"/>
      <c r="AJ599" s="288"/>
      <c r="AK599" s="288"/>
      <c r="AL599" s="288"/>
    </row>
    <row r="600" spans="2:38">
      <c r="B600" s="554" t="str">
        <f>IF($C$1="ENG","door lock Magnet","замок Magnet")</f>
        <v>замок Magnet</v>
      </c>
      <c r="C600" s="555"/>
      <c r="D600" s="405">
        <f t="shared" si="82"/>
        <v>666.66666666666674</v>
      </c>
      <c r="E600" s="92">
        <f t="shared" si="83"/>
        <v>800.00000000000011</v>
      </c>
      <c r="F600" s="26"/>
      <c r="G600" s="26"/>
      <c r="H600" s="5"/>
      <c r="AC600" s="297">
        <v>800</v>
      </c>
      <c r="AD600" s="288">
        <v>800</v>
      </c>
      <c r="AE600" s="288">
        <f t="shared" si="84"/>
        <v>0</v>
      </c>
      <c r="AF600" s="288"/>
      <c r="AG600" s="288"/>
      <c r="AH600" s="288"/>
      <c r="AI600" s="288"/>
      <c r="AJ600" s="288"/>
      <c r="AK600" s="288"/>
      <c r="AL600" s="288"/>
    </row>
    <row r="601" spans="2:38">
      <c r="B601" s="554" t="s">
        <v>66</v>
      </c>
      <c r="C601" s="555"/>
      <c r="D601" s="405">
        <f t="shared" ref="D601" si="87">IF(AC601="","",(1-$W$2)*(AC601/1.2))</f>
        <v>833.33333333333337</v>
      </c>
      <c r="E601" s="92">
        <f t="shared" ref="E601" si="88">IF($W$5=0.2,D601*1.2,D601)/$W$4</f>
        <v>1000</v>
      </c>
      <c r="F601" s="26"/>
      <c r="G601" s="26"/>
      <c r="H601" s="5"/>
      <c r="AC601" s="297">
        <v>1000</v>
      </c>
      <c r="AD601" s="288"/>
      <c r="AE601" s="288"/>
      <c r="AF601" s="288"/>
      <c r="AG601" s="288"/>
      <c r="AH601" s="288"/>
      <c r="AI601" s="288"/>
      <c r="AJ601" s="288"/>
      <c r="AK601" s="288"/>
      <c r="AL601" s="288"/>
    </row>
    <row r="602" spans="2:38">
      <c r="B602" s="554" t="str">
        <f>IF($C$1="ENG","door handle-lock (for sliding doors)","ручка-замок (для дверей купе)")</f>
        <v>ручка-замок (для дверей купе)</v>
      </c>
      <c r="C602" s="555"/>
      <c r="D602" s="403">
        <f t="shared" si="82"/>
        <v>466.66666666666669</v>
      </c>
      <c r="E602" s="92">
        <f t="shared" si="83"/>
        <v>560</v>
      </c>
      <c r="F602" s="26"/>
      <c r="G602" s="26"/>
      <c r="I602" s="11"/>
      <c r="J602" s="11"/>
      <c r="K602" s="19"/>
      <c r="AC602" s="297">
        <v>560</v>
      </c>
      <c r="AD602" s="288">
        <v>560</v>
      </c>
      <c r="AE602" s="288">
        <f t="shared" si="84"/>
        <v>0</v>
      </c>
      <c r="AF602" s="288"/>
      <c r="AG602" s="288"/>
      <c r="AH602" s="288"/>
      <c r="AI602" s="288"/>
      <c r="AJ602" s="288"/>
      <c r="AK602" s="288"/>
      <c r="AL602" s="288"/>
    </row>
    <row r="603" spans="2:38">
      <c r="B603" s="554" t="str">
        <f>IF($C$1="ENG","cylinder incert","циліндр несиметричний")</f>
        <v>циліндр несиметричний</v>
      </c>
      <c r="C603" s="555"/>
      <c r="D603" s="403">
        <f t="shared" si="82"/>
        <v>325</v>
      </c>
      <c r="E603" s="92">
        <f t="shared" si="83"/>
        <v>390</v>
      </c>
      <c r="F603" s="26"/>
      <c r="G603" s="26"/>
      <c r="AC603" s="297">
        <v>390</v>
      </c>
      <c r="AD603" s="288">
        <v>390</v>
      </c>
      <c r="AE603" s="288">
        <f t="shared" si="84"/>
        <v>0</v>
      </c>
      <c r="AF603" s="288"/>
      <c r="AG603" s="288"/>
      <c r="AH603" s="288"/>
      <c r="AI603" s="288"/>
      <c r="AJ603" s="288"/>
      <c r="AK603" s="288"/>
      <c r="AL603" s="288"/>
    </row>
    <row r="604" spans="2:38">
      <c r="B604" s="554" t="str">
        <f>IF($C$1="ENG","door hindge Prestige (1 unit)","завіса Prestige (1 шт)")</f>
        <v>завіса Prestige (1 шт)</v>
      </c>
      <c r="C604" s="555"/>
      <c r="D604" s="406">
        <f t="shared" si="82"/>
        <v>216.66666666666669</v>
      </c>
      <c r="E604" s="92">
        <f t="shared" si="83"/>
        <v>260</v>
      </c>
      <c r="F604" s="26"/>
      <c r="G604" s="26"/>
      <c r="AC604" s="297">
        <v>260</v>
      </c>
      <c r="AD604" s="288">
        <v>260</v>
      </c>
      <c r="AE604" s="288">
        <f t="shared" si="84"/>
        <v>0</v>
      </c>
      <c r="AF604" s="288"/>
      <c r="AG604" s="288"/>
      <c r="AH604" s="288"/>
      <c r="AI604" s="288"/>
      <c r="AJ604" s="288"/>
      <c r="AK604" s="288"/>
      <c r="AL604" s="288"/>
    </row>
    <row r="605" spans="2:38">
      <c r="B605" s="554" t="str">
        <f>IF($C$1="ENG","door hinge caps (1 set)","накладка на завіси (1 к-т)")</f>
        <v>накладка на завіси (1 к-т)</v>
      </c>
      <c r="C605" s="555"/>
      <c r="D605" s="406">
        <f t="shared" si="82"/>
        <v>66.666666666666671</v>
      </c>
      <c r="E605" s="92">
        <f t="shared" si="83"/>
        <v>80</v>
      </c>
      <c r="F605" s="26"/>
      <c r="G605" s="26"/>
      <c r="AC605" s="297">
        <v>80</v>
      </c>
      <c r="AD605" s="288">
        <v>80</v>
      </c>
      <c r="AE605" s="288">
        <f t="shared" si="84"/>
        <v>0</v>
      </c>
      <c r="AF605" s="288"/>
      <c r="AG605" s="288"/>
      <c r="AH605" s="288"/>
      <c r="AI605" s="288"/>
      <c r="AJ605" s="288"/>
      <c r="AK605" s="288"/>
      <c r="AL605" s="288"/>
    </row>
    <row r="606" spans="2:38">
      <c r="B606" s="554" t="str">
        <f>IF($C$1="ENG","door handle","дверна ручка")</f>
        <v>дверна ручка</v>
      </c>
      <c r="C606" s="555"/>
      <c r="D606" s="407" t="str">
        <f t="shared" si="82"/>
        <v/>
      </c>
      <c r="E606" s="246" t="str">
        <f>IF($C$1="ENG","see Handles Price","див. Таблицю Ручки")</f>
        <v>див. Таблицю Ручки</v>
      </c>
      <c r="F606" s="26"/>
      <c r="G606" s="26"/>
      <c r="AC606" s="288"/>
      <c r="AD606" s="288"/>
      <c r="AE606" s="288"/>
      <c r="AF606" s="288"/>
      <c r="AG606" s="288"/>
      <c r="AH606" s="288"/>
      <c r="AI606" s="288"/>
      <c r="AJ606" s="288"/>
      <c r="AK606" s="288"/>
      <c r="AL606" s="288"/>
    </row>
    <row r="607" spans="2:38" ht="14.25" customHeight="1">
      <c r="C607" s="244"/>
      <c r="D607" s="26"/>
      <c r="E607" s="26"/>
      <c r="F607" s="26"/>
      <c r="G607" s="26"/>
      <c r="H607" s="5"/>
      <c r="T607" s="536" t="str">
        <f>IF($C$1="ENG",CONCATENATE("down to: ",B717),CONCATENATE("вниз до: ",B717))</f>
        <v xml:space="preserve">вниз до: </v>
      </c>
      <c r="U607" s="536"/>
      <c r="V607" s="536"/>
      <c r="W607" s="536"/>
    </row>
    <row r="608" spans="2:38" ht="14.25" customHeight="1">
      <c r="C608" s="244"/>
      <c r="D608" s="26"/>
      <c r="E608" s="26"/>
      <c r="F608" s="26"/>
      <c r="G608" s="26"/>
      <c r="H608" s="5"/>
    </row>
    <row r="609" spans="3:8" ht="14.25" customHeight="1">
      <c r="C609" s="244"/>
      <c r="D609" s="26"/>
      <c r="E609" s="26"/>
      <c r="F609" s="26"/>
      <c r="G609" s="26"/>
      <c r="H609" s="5"/>
    </row>
    <row r="610" spans="3:8" ht="14.25" customHeight="1">
      <c r="C610" s="244"/>
      <c r="D610" s="26"/>
      <c r="E610" s="26"/>
      <c r="F610" s="26"/>
      <c r="G610" s="26"/>
      <c r="H610" s="5"/>
    </row>
    <row r="611" spans="3:8" ht="14.25" customHeight="1">
      <c r="C611" s="244"/>
      <c r="D611" s="26"/>
      <c r="E611" s="26"/>
      <c r="F611" s="26"/>
      <c r="G611" s="26"/>
      <c r="H611" s="5"/>
    </row>
    <row r="612" spans="3:8" ht="14.25" customHeight="1">
      <c r="C612" s="244"/>
      <c r="D612" s="26"/>
      <c r="E612" s="26"/>
      <c r="F612" s="26"/>
      <c r="G612" s="26"/>
      <c r="H612" s="5"/>
    </row>
    <row r="613" spans="3:8" ht="14.25" customHeight="1">
      <c r="C613" s="244"/>
      <c r="D613" s="26"/>
      <c r="E613" s="26"/>
      <c r="F613" s="26"/>
      <c r="G613" s="26"/>
      <c r="H613" s="5"/>
    </row>
    <row r="614" spans="3:8" ht="14.25" customHeight="1">
      <c r="C614" s="244"/>
      <c r="D614" s="26"/>
      <c r="E614" s="26"/>
      <c r="F614" s="26"/>
      <c r="G614" s="26"/>
      <c r="H614" s="5"/>
    </row>
    <row r="615" spans="3:8" ht="14.25" customHeight="1">
      <c r="C615" s="244"/>
      <c r="D615" s="26"/>
      <c r="E615" s="26"/>
      <c r="F615" s="26"/>
      <c r="G615" s="26"/>
      <c r="H615" s="5"/>
    </row>
    <row r="616" spans="3:8" ht="14.25" customHeight="1">
      <c r="C616" s="244"/>
      <c r="D616" s="26"/>
      <c r="E616" s="26"/>
      <c r="F616" s="26"/>
      <c r="G616" s="26"/>
      <c r="H616" s="5"/>
    </row>
    <row r="617" spans="3:8" ht="14.25" customHeight="1">
      <c r="C617" s="244"/>
      <c r="D617" s="26"/>
      <c r="E617" s="26"/>
      <c r="F617" s="26"/>
      <c r="G617" s="26"/>
      <c r="H617" s="5"/>
    </row>
    <row r="618" spans="3:8" ht="14.25" customHeight="1">
      <c r="C618" s="244"/>
      <c r="D618" s="26"/>
      <c r="E618" s="26"/>
      <c r="F618" s="26"/>
      <c r="G618" s="26"/>
      <c r="H618" s="5"/>
    </row>
    <row r="619" spans="3:8" ht="14.25" customHeight="1">
      <c r="C619" s="244"/>
      <c r="D619" s="26"/>
      <c r="E619" s="26"/>
      <c r="F619" s="26"/>
      <c r="G619" s="26"/>
      <c r="H619" s="5"/>
    </row>
    <row r="620" spans="3:8" ht="14.25" customHeight="1">
      <c r="C620" s="244"/>
      <c r="D620" s="26"/>
      <c r="E620" s="26"/>
      <c r="F620" s="26"/>
      <c r="G620" s="26"/>
      <c r="H620" s="5"/>
    </row>
    <row r="621" spans="3:8" ht="14.25" customHeight="1">
      <c r="C621" s="244"/>
      <c r="D621" s="26"/>
      <c r="E621" s="26"/>
      <c r="F621" s="26"/>
      <c r="G621" s="26"/>
      <c r="H621" s="5"/>
    </row>
    <row r="622" spans="3:8" ht="14.25" customHeight="1">
      <c r="C622" s="244"/>
      <c r="D622" s="26"/>
      <c r="E622" s="26"/>
      <c r="F622" s="26"/>
      <c r="G622" s="26"/>
      <c r="H622" s="5"/>
    </row>
    <row r="623" spans="3:8" ht="14.25" customHeight="1">
      <c r="C623" s="244"/>
      <c r="D623" s="26"/>
      <c r="E623" s="26"/>
      <c r="F623" s="26"/>
      <c r="G623" s="26"/>
      <c r="H623" s="5"/>
    </row>
    <row r="624" spans="3:8" ht="14.25" customHeight="1">
      <c r="C624" s="244"/>
      <c r="D624" s="26"/>
      <c r="E624" s="26"/>
      <c r="F624" s="26"/>
      <c r="G624" s="26"/>
      <c r="H624" s="5"/>
    </row>
    <row r="625" spans="1:47" ht="14.25" customHeight="1">
      <c r="C625" s="244"/>
      <c r="D625" s="26"/>
      <c r="E625" s="26"/>
      <c r="F625" s="26"/>
      <c r="G625" s="26"/>
      <c r="H625" s="5"/>
    </row>
    <row r="626" spans="1:47" ht="14.25" customHeight="1">
      <c r="C626" s="244"/>
      <c r="D626" s="26"/>
      <c r="E626" s="26"/>
      <c r="F626" s="26"/>
      <c r="G626" s="26"/>
      <c r="H626" s="5"/>
    </row>
    <row r="627" spans="1:47" ht="14.25" customHeight="1">
      <c r="C627" s="244"/>
      <c r="D627" s="26"/>
      <c r="E627" s="26"/>
      <c r="F627" s="26"/>
      <c r="G627" s="26"/>
      <c r="H627" s="5"/>
    </row>
    <row r="628" spans="1:47" ht="14.25" customHeight="1">
      <c r="C628" s="244"/>
      <c r="D628" s="26"/>
      <c r="E628" s="26"/>
      <c r="F628" s="26"/>
      <c r="G628" s="26"/>
      <c r="H628" s="5"/>
    </row>
    <row r="629" spans="1:47" ht="14.25" customHeight="1">
      <c r="C629" s="244"/>
      <c r="D629" s="26"/>
      <c r="E629" s="26"/>
      <c r="F629" s="26"/>
      <c r="G629" s="26"/>
      <c r="H629" s="5"/>
    </row>
    <row r="630" spans="1:47" ht="14.25" customHeight="1">
      <c r="C630" s="244"/>
      <c r="D630" s="26"/>
      <c r="E630" s="26"/>
      <c r="F630" s="26"/>
      <c r="G630" s="26"/>
      <c r="H630" s="5"/>
    </row>
    <row r="631" spans="1:47" ht="14.25" customHeight="1">
      <c r="C631" s="244"/>
      <c r="D631" s="26"/>
      <c r="E631" s="26"/>
      <c r="F631" s="26"/>
      <c r="G631" s="26"/>
      <c r="H631" s="5"/>
    </row>
    <row r="632" spans="1:47" s="8" customFormat="1">
      <c r="B632" s="550" t="str">
        <f>TITLE!C17</f>
        <v>Полотна збірні: ПРОВАНС</v>
      </c>
      <c r="C632" s="550"/>
      <c r="D632" s="117"/>
      <c r="E632" s="117"/>
      <c r="F632" s="117"/>
      <c r="G632" s="117"/>
      <c r="H632" s="552"/>
      <c r="I632" s="552"/>
      <c r="J632" s="120"/>
      <c r="K632" s="120"/>
      <c r="L632" s="120"/>
      <c r="M632" s="120"/>
      <c r="N632" s="120"/>
      <c r="O632" s="120"/>
      <c r="P632" s="120"/>
      <c r="Q632" s="120"/>
      <c r="R632" s="120"/>
      <c r="S632" s="545" t="str">
        <f>IF($C$1="ENG",CONCATENATE("up to: ",B376),CONCATENATE("вгору до: ",B376))</f>
        <v>вгору до: замок Soft</v>
      </c>
      <c r="T632" s="546"/>
      <c r="U632" s="546"/>
      <c r="V632" s="546"/>
      <c r="W632" s="546"/>
      <c r="AN632" s="279"/>
      <c r="AO632" s="279"/>
      <c r="AP632" s="279"/>
      <c r="AQ632" s="279"/>
      <c r="AR632" s="279"/>
      <c r="AS632" s="279"/>
      <c r="AT632" s="279"/>
    </row>
    <row r="633" spans="1:47" s="8" customFormat="1" ht="5.0999999999999996" customHeight="1">
      <c r="B633" s="116"/>
      <c r="C633" s="418"/>
      <c r="D633" s="9"/>
      <c r="E633" s="9"/>
      <c r="F633" s="9"/>
      <c r="G633" s="9"/>
      <c r="H633" s="119"/>
      <c r="S633" s="464"/>
      <c r="T633" s="464"/>
      <c r="U633" s="464"/>
      <c r="V633" s="464"/>
      <c r="AM633" s="279"/>
      <c r="AN633" s="279"/>
      <c r="AO633" s="279"/>
      <c r="AP633" s="279"/>
      <c r="AQ633" s="279"/>
      <c r="AR633" s="279"/>
      <c r="AS633" s="279"/>
    </row>
    <row r="634" spans="1:47" s="8" customFormat="1" ht="12.75" customHeight="1">
      <c r="B634" s="556" t="str">
        <f>IF($C$1="ENG","model","модель")</f>
        <v>модель</v>
      </c>
      <c r="C634" s="121" t="str">
        <f>IF($C$1="ENG","cover:","покриття:")</f>
        <v>покриття:</v>
      </c>
      <c r="D634" s="538" t="str">
        <f>IF($C$1="ENG","UNI-MAT","UNI-MAT")</f>
        <v>UNI-MAT</v>
      </c>
      <c r="E634" s="539"/>
      <c r="F634" s="538" t="str">
        <f>IF($C$1="ENG","RESIST","RESIST")</f>
        <v>RESIST</v>
      </c>
      <c r="G634" s="539"/>
      <c r="H634" s="1"/>
      <c r="T634" s="464"/>
      <c r="U634" s="464"/>
      <c r="V634" s="464"/>
      <c r="W634" s="464"/>
      <c r="AN634" s="279"/>
      <c r="AO634" s="279"/>
      <c r="AP634" s="279"/>
      <c r="AQ634" s="279"/>
      <c r="AR634" s="279"/>
      <c r="AS634" s="279"/>
      <c r="AT634" s="279"/>
    </row>
    <row r="635" spans="1:47" s="8" customFormat="1" ht="24.95" customHeight="1">
      <c r="B635" s="557"/>
      <c r="C635" s="122" t="str">
        <f>IF($C$1="ENG","filling:","заповнення:")</f>
        <v>заповнення:</v>
      </c>
      <c r="D635" s="540" t="str">
        <f>IF($C$1="ENG","softwood","клеєний сосновий брус")</f>
        <v>клеєний сосновий брус</v>
      </c>
      <c r="E635" s="541"/>
      <c r="F635" s="540" t="str">
        <f>IF($C$1="ENG","softwood","клеєний сосновий брус")</f>
        <v>клеєний сосновий брус</v>
      </c>
      <c r="G635" s="541"/>
      <c r="H635" s="1"/>
      <c r="I635" s="1"/>
      <c r="U635" s="464"/>
      <c r="V635" s="464"/>
      <c r="W635" s="464"/>
      <c r="X635" s="464"/>
      <c r="AE635" s="381" t="e">
        <f>AD637/AC637-1</f>
        <v>#DIV/0!</v>
      </c>
      <c r="AF635" s="381">
        <f>AE637/AD637-1</f>
        <v>3.9886039886039892E-2</v>
      </c>
      <c r="AG635" s="381">
        <f>AF637/AE637-1</f>
        <v>0.10273972602739723</v>
      </c>
      <c r="AH635" s="381">
        <f>AG637/AF637-1</f>
        <v>5.2173913043478182E-2</v>
      </c>
      <c r="AO635" s="279"/>
      <c r="AP635" s="279"/>
      <c r="AQ635" s="279"/>
      <c r="AR635" s="279"/>
      <c r="AS635" s="279"/>
      <c r="AT635" s="279"/>
      <c r="AU635" s="279"/>
    </row>
    <row r="636" spans="1:47" ht="12.75" customHeight="1">
      <c r="A636" s="8"/>
      <c r="B636" s="558"/>
      <c r="C636" s="123" t="str">
        <f>IF($C$1="ENG","glazing:","скління:")</f>
        <v>скління:</v>
      </c>
      <c r="D636" s="542" t="str">
        <f>IF($C$1="ENG","Satin","Сатин")</f>
        <v>Сатин</v>
      </c>
      <c r="E636" s="543"/>
      <c r="F636" s="542" t="str">
        <f>IF($C$1="ENG","Satin","Сатин")</f>
        <v>Сатин</v>
      </c>
      <c r="G636" s="543"/>
      <c r="AN636" s="1"/>
      <c r="AU636" s="30"/>
    </row>
    <row r="637" spans="1:47" ht="35.1" customHeight="1">
      <c r="A637" s="8"/>
      <c r="B637" s="16" t="s">
        <v>61</v>
      </c>
      <c r="C637" s="17"/>
      <c r="D637" s="18">
        <f>IF(AD637="","",(1-$W$2)*(AD637/1.2))</f>
        <v>5850</v>
      </c>
      <c r="E637" s="66">
        <f>IF($W$5=0.2,D637*1.2,D637)/$W$4</f>
        <v>7020</v>
      </c>
      <c r="F637" s="18">
        <f>IF(AE637="","",(1-$W$2)*(AE637/1.2))</f>
        <v>6083.3333333333339</v>
      </c>
      <c r="G637" s="66">
        <f>IF($W$5=0.2,F637*1.2,F637)/$W$4</f>
        <v>7300.0000000000009</v>
      </c>
      <c r="L637" s="103"/>
      <c r="M637" s="103"/>
      <c r="N637" s="103"/>
      <c r="O637" s="103"/>
      <c r="P637" s="103"/>
      <c r="Q637" s="103"/>
      <c r="R637" s="103"/>
      <c r="S637" s="103"/>
      <c r="U637" s="103"/>
      <c r="V637" s="20"/>
      <c r="W637" s="103"/>
      <c r="X637" s="20"/>
      <c r="Y637" s="103"/>
      <c r="Z637" s="103"/>
      <c r="AA637" s="103"/>
      <c r="AB637" s="103"/>
      <c r="AC637" s="331"/>
      <c r="AD637" s="389">
        <v>7020</v>
      </c>
      <c r="AE637" s="331">
        <v>7300</v>
      </c>
      <c r="AF637" s="331">
        <v>8050</v>
      </c>
      <c r="AG637" s="331">
        <v>8470</v>
      </c>
      <c r="AH637" s="288">
        <v>6230</v>
      </c>
      <c r="AI637" s="288" t="e">
        <f>AH637/AC637-1</f>
        <v>#DIV/0!</v>
      </c>
      <c r="AJ637" s="288">
        <v>7100</v>
      </c>
      <c r="AK637" s="288">
        <f>AJ637/AD637-1</f>
        <v>1.139601139601143E-2</v>
      </c>
      <c r="AL637" s="288">
        <v>7390</v>
      </c>
      <c r="AM637" s="288">
        <f>AL637/AE637-1</f>
        <v>1.2328767123287676E-2</v>
      </c>
      <c r="AN637" s="288">
        <v>8050</v>
      </c>
      <c r="AO637" s="288">
        <f>AN637/AF637-1</f>
        <v>0</v>
      </c>
      <c r="AP637" s="288">
        <v>8470</v>
      </c>
      <c r="AQ637" s="288">
        <f>AP637/AG637-1</f>
        <v>0</v>
      </c>
    </row>
    <row r="638" spans="1:47" ht="35.1" customHeight="1">
      <c r="A638" s="8"/>
      <c r="B638" s="106" t="s">
        <v>63</v>
      </c>
      <c r="C638" s="321"/>
      <c r="D638" s="18">
        <f t="shared" ref="D638:D639" si="89">IF(AD638="","",(1-$W$2)*(AD638/1.2))</f>
        <v>6075</v>
      </c>
      <c r="E638" s="66">
        <f t="shared" ref="E638:E639" si="90">IF($W$5=0.2,D638*1.2,D638)/$W$4</f>
        <v>7290</v>
      </c>
      <c r="F638" s="18">
        <f t="shared" ref="F638:F639" si="91">IF(AE638="","",(1-$W$2)*(AE638/1.2))</f>
        <v>6316.666666666667</v>
      </c>
      <c r="G638" s="66">
        <f t="shared" ref="G638:G639" si="92">IF($W$5=0.2,F638*1.2,F638)/$W$4</f>
        <v>7580</v>
      </c>
      <c r="L638" s="103"/>
      <c r="M638" s="103"/>
      <c r="N638" s="103"/>
      <c r="O638" s="103"/>
      <c r="P638" s="103"/>
      <c r="Q638" s="103"/>
      <c r="R638" s="103"/>
      <c r="S638" s="103"/>
      <c r="U638" s="103"/>
      <c r="V638" s="20"/>
      <c r="W638" s="103"/>
      <c r="X638" s="20"/>
      <c r="Y638" s="103"/>
      <c r="Z638" s="103"/>
      <c r="AA638" s="103"/>
      <c r="AB638" s="103"/>
      <c r="AC638" s="331"/>
      <c r="AD638" s="389">
        <v>7290</v>
      </c>
      <c r="AE638" s="331">
        <v>7580</v>
      </c>
      <c r="AF638" s="331"/>
      <c r="AG638" s="331"/>
      <c r="AH638" s="288"/>
      <c r="AI638" s="288"/>
      <c r="AJ638" s="288"/>
      <c r="AK638" s="288"/>
      <c r="AL638" s="288"/>
      <c r="AM638" s="288"/>
      <c r="AN638" s="288"/>
      <c r="AO638" s="288"/>
      <c r="AP638" s="288"/>
      <c r="AQ638" s="288"/>
    </row>
    <row r="639" spans="1:47" ht="35.1" customHeight="1">
      <c r="A639" s="8"/>
      <c r="B639" s="106" t="s">
        <v>64</v>
      </c>
      <c r="C639" s="321"/>
      <c r="D639" s="18">
        <f t="shared" si="89"/>
        <v>5883.3333333333339</v>
      </c>
      <c r="E639" s="66">
        <f t="shared" si="90"/>
        <v>7060.0000000000009</v>
      </c>
      <c r="F639" s="18">
        <f t="shared" si="91"/>
        <v>6116.666666666667</v>
      </c>
      <c r="G639" s="66">
        <f t="shared" si="92"/>
        <v>7340</v>
      </c>
      <c r="L639" s="103"/>
      <c r="M639" s="103"/>
      <c r="N639" s="103"/>
      <c r="O639" s="103"/>
      <c r="P639" s="103"/>
      <c r="Q639" s="103"/>
      <c r="R639" s="103"/>
      <c r="S639" s="103"/>
      <c r="U639" s="103"/>
      <c r="V639" s="20"/>
      <c r="W639" s="103"/>
      <c r="X639" s="20"/>
      <c r="Y639" s="103"/>
      <c r="Z639" s="103"/>
      <c r="AA639" s="103"/>
      <c r="AB639" s="103"/>
      <c r="AC639" s="331"/>
      <c r="AD639" s="389">
        <v>7060</v>
      </c>
      <c r="AE639" s="331">
        <v>7340</v>
      </c>
      <c r="AF639" s="331"/>
      <c r="AG639" s="331"/>
      <c r="AH639" s="288"/>
      <c r="AI639" s="288"/>
      <c r="AJ639" s="288"/>
      <c r="AK639" s="288"/>
      <c r="AL639" s="288"/>
      <c r="AM639" s="288"/>
      <c r="AN639" s="288"/>
      <c r="AO639" s="288"/>
      <c r="AP639" s="288"/>
      <c r="AQ639" s="288"/>
    </row>
    <row r="640" spans="1:47" ht="35.1" customHeight="1">
      <c r="A640" s="8"/>
      <c r="B640" s="23" t="s">
        <v>65</v>
      </c>
      <c r="C640" s="24"/>
      <c r="D640" s="25">
        <f>IF(AD640="","",(1-$W$2)*(AD640/1.2))</f>
        <v>6325</v>
      </c>
      <c r="E640" s="69">
        <f>IF($W$5=0.2,D640*1.2,D640)/$W$4</f>
        <v>7590</v>
      </c>
      <c r="F640" s="25">
        <f>IF(AE640="","",(1-$W$2)*(AE640/1.2))</f>
        <v>6583.3333333333339</v>
      </c>
      <c r="G640" s="69">
        <f>IF($W$5=0.2,F640*1.2,F640)/$W$4</f>
        <v>7900</v>
      </c>
      <c r="L640" s="103"/>
      <c r="M640" s="103"/>
      <c r="N640" s="103"/>
      <c r="O640" s="103"/>
      <c r="P640" s="103"/>
      <c r="Q640" s="103"/>
      <c r="R640" s="103"/>
      <c r="S640" s="103"/>
      <c r="U640" s="103"/>
      <c r="V640" s="20"/>
      <c r="W640" s="103"/>
      <c r="X640" s="20"/>
      <c r="Y640" s="103"/>
      <c r="Z640" s="103"/>
      <c r="AA640" s="103"/>
      <c r="AB640" s="103"/>
      <c r="AC640" s="331"/>
      <c r="AD640" s="389">
        <v>7590</v>
      </c>
      <c r="AE640" s="331">
        <v>7900</v>
      </c>
      <c r="AF640" s="331">
        <v>8050</v>
      </c>
      <c r="AG640" s="331">
        <v>8470</v>
      </c>
      <c r="AH640" s="288">
        <v>6230</v>
      </c>
      <c r="AI640" s="288" t="e">
        <f t="shared" ref="AI640" si="93">AH640/AC640-1</f>
        <v>#DIV/0!</v>
      </c>
      <c r="AJ640" s="288">
        <v>7100</v>
      </c>
      <c r="AK640" s="288">
        <f t="shared" ref="AK640" si="94">AJ640/AD640-1</f>
        <v>-6.4558629776021115E-2</v>
      </c>
      <c r="AL640" s="288">
        <v>7390</v>
      </c>
      <c r="AM640" s="288">
        <f t="shared" ref="AM640" si="95">AL640/AE640-1</f>
        <v>-6.4556962025316467E-2</v>
      </c>
      <c r="AN640" s="288">
        <v>8050</v>
      </c>
      <c r="AO640" s="288">
        <f t="shared" ref="AO640" si="96">AN640/AF640-1</f>
        <v>0</v>
      </c>
      <c r="AP640" s="288">
        <v>8470</v>
      </c>
      <c r="AQ640" s="288">
        <f t="shared" ref="AQ640" si="97">AP640/AG640-1</f>
        <v>0</v>
      </c>
    </row>
    <row r="641" spans="2:38">
      <c r="C641" s="244"/>
      <c r="D641" s="26"/>
      <c r="E641" s="57"/>
      <c r="F641" s="26"/>
      <c r="G641" s="57"/>
      <c r="H641" s="10"/>
      <c r="I641" s="8"/>
      <c r="J641" s="8"/>
      <c r="K641" s="8"/>
    </row>
    <row r="642" spans="2:38">
      <c r="B642" s="211" t="str">
        <f>IF($C$1="ENG","For additonal charge:","Послуги за додаткову плату:")</f>
        <v>Послуги за додаткову плату:</v>
      </c>
      <c r="C642" s="419"/>
      <c r="D642" s="212"/>
      <c r="E642" s="213"/>
      <c r="F642" s="26"/>
      <c r="G642" s="57"/>
      <c r="H642" s="10"/>
      <c r="I642" s="8"/>
      <c r="J642" s="8"/>
      <c r="K642" s="8"/>
    </row>
    <row r="643" spans="2:38" ht="5.0999999999999996" customHeight="1">
      <c r="B643" s="27"/>
      <c r="C643" s="244"/>
      <c r="D643" s="26"/>
      <c r="E643" s="57"/>
      <c r="F643" s="26"/>
      <c r="G643" s="57"/>
      <c r="H643" s="10"/>
      <c r="I643" s="8"/>
      <c r="J643" s="8"/>
      <c r="K643" s="8"/>
    </row>
    <row r="644" spans="2:38">
      <c r="B644" s="561" t="str">
        <f>IF($C$1="ENG","door leaf with width 100","полотно розміром 100")</f>
        <v>полотно розміром 100</v>
      </c>
      <c r="C644" s="562"/>
      <c r="D644" s="408">
        <f t="shared" ref="D644:D655" si="98">IF(AC644="","",(1-$W$2)*(AC644/1.2))</f>
        <v>600</v>
      </c>
      <c r="E644" s="91">
        <f>IF($W$5=0.2,D644*1.2,D644)/$W$4</f>
        <v>720</v>
      </c>
      <c r="F644" s="26"/>
      <c r="G644" s="26"/>
      <c r="H644" s="10"/>
      <c r="I644" s="8"/>
      <c r="J644" s="8"/>
      <c r="K644" s="8"/>
      <c r="AC644" s="297">
        <v>720</v>
      </c>
      <c r="AD644" s="288">
        <v>720</v>
      </c>
      <c r="AE644" s="288">
        <f>AD644/AC644-1</f>
        <v>0</v>
      </c>
      <c r="AF644" s="288"/>
      <c r="AG644" s="288"/>
      <c r="AH644" s="288"/>
      <c r="AI644" s="288"/>
      <c r="AJ644" s="288"/>
      <c r="AK644" s="288"/>
      <c r="AL644" s="288"/>
    </row>
    <row r="645" spans="2:38">
      <c r="B645" s="561" t="str">
        <f>IF($C$1="ENG","Ventilation cut","вентиляційний підріз")</f>
        <v>вентиляційний підріз</v>
      </c>
      <c r="C645" s="562"/>
      <c r="D645" s="403">
        <f t="shared" si="98"/>
        <v>141.66666666666669</v>
      </c>
      <c r="E645" s="66">
        <f t="shared" ref="E645:E654" si="99">IF($W$5=0.2,D645*1.2,D645)/$W$4</f>
        <v>170.00000000000003</v>
      </c>
      <c r="F645" s="26"/>
      <c r="G645" s="26"/>
      <c r="I645" s="59"/>
      <c r="J645" s="28"/>
      <c r="AC645" s="297">
        <v>170</v>
      </c>
      <c r="AD645" s="288">
        <v>170</v>
      </c>
      <c r="AE645" s="288">
        <f t="shared" ref="AE645:AE647" si="100">AD645/AC645-1</f>
        <v>0</v>
      </c>
      <c r="AF645" s="288"/>
      <c r="AG645" s="288"/>
      <c r="AH645" s="288"/>
      <c r="AI645" s="288"/>
      <c r="AJ645" s="288"/>
      <c r="AK645" s="288"/>
      <c r="AL645" s="288"/>
    </row>
    <row r="646" spans="2:38">
      <c r="B646" s="554" t="str">
        <f>IF($C$1="ENG","glazing Graphite / Bronze","скло Графіт / Бронза")</f>
        <v>скло Графіт / Бронза</v>
      </c>
      <c r="C646" s="555"/>
      <c r="D646" s="405">
        <f t="shared" si="98"/>
        <v>458.33333333333337</v>
      </c>
      <c r="E646" s="92">
        <f t="shared" si="99"/>
        <v>550</v>
      </c>
      <c r="F646" s="26"/>
      <c r="G646" s="26"/>
      <c r="H646" s="5"/>
      <c r="AC646" s="297">
        <v>550</v>
      </c>
      <c r="AD646" s="288">
        <v>550</v>
      </c>
      <c r="AE646" s="288">
        <f t="shared" si="100"/>
        <v>0</v>
      </c>
      <c r="AF646" s="288"/>
      <c r="AG646" s="288"/>
      <c r="AH646" s="288"/>
      <c r="AI646" s="288"/>
      <c r="AJ646" s="288"/>
      <c r="AK646" s="288"/>
      <c r="AL646" s="288"/>
    </row>
    <row r="647" spans="2:38">
      <c r="B647" s="554" t="str">
        <f>IF($C$1="ENG","door lock Soft","замок Soft")</f>
        <v>замок Soft</v>
      </c>
      <c r="C647" s="555"/>
      <c r="D647" s="405">
        <f t="shared" si="98"/>
        <v>458.33333333333337</v>
      </c>
      <c r="E647" s="92">
        <f t="shared" si="99"/>
        <v>550</v>
      </c>
      <c r="F647" s="26"/>
      <c r="G647" s="26"/>
      <c r="H647" s="5"/>
      <c r="AC647" s="297">
        <v>550</v>
      </c>
      <c r="AD647" s="288">
        <v>550</v>
      </c>
      <c r="AE647" s="288">
        <f t="shared" si="100"/>
        <v>0</v>
      </c>
      <c r="AF647" s="288"/>
      <c r="AG647" s="288"/>
      <c r="AH647" s="288"/>
      <c r="AI647" s="288"/>
      <c r="AJ647" s="288"/>
      <c r="AK647" s="288"/>
      <c r="AL647" s="288"/>
    </row>
    <row r="648" spans="2:38">
      <c r="B648" s="554" t="str">
        <f>IF($C$1="ENG","door lock Soft black","замок Soft чорн.")</f>
        <v>замок Soft чорн.</v>
      </c>
      <c r="C648" s="555"/>
      <c r="D648" s="405">
        <f t="shared" si="98"/>
        <v>566.66666666666674</v>
      </c>
      <c r="E648" s="92">
        <f t="shared" si="99"/>
        <v>680.00000000000011</v>
      </c>
      <c r="F648" s="26"/>
      <c r="G648" s="26"/>
      <c r="H648" s="5"/>
      <c r="AC648" s="297">
        <v>680</v>
      </c>
      <c r="AD648" s="288"/>
      <c r="AE648" s="288"/>
      <c r="AF648" s="288"/>
      <c r="AG648" s="288"/>
      <c r="AH648" s="288"/>
      <c r="AI648" s="288"/>
      <c r="AJ648" s="288"/>
      <c r="AK648" s="288"/>
      <c r="AL648" s="288"/>
    </row>
    <row r="649" spans="2:38">
      <c r="B649" s="554" t="str">
        <f>IF($C$1="ENG","door lock Magnet","замок Magnet")</f>
        <v>замок Magnet</v>
      </c>
      <c r="C649" s="555"/>
      <c r="D649" s="405">
        <f t="shared" si="98"/>
        <v>666.66666666666674</v>
      </c>
      <c r="E649" s="92">
        <f t="shared" si="99"/>
        <v>800.00000000000011</v>
      </c>
      <c r="F649" s="26"/>
      <c r="G649" s="26"/>
      <c r="H649" s="5"/>
      <c r="AC649" s="297">
        <v>800</v>
      </c>
      <c r="AD649" s="288">
        <v>800</v>
      </c>
      <c r="AE649" s="288">
        <f t="shared" ref="AE649" si="101">AD649/AC649-1</f>
        <v>0</v>
      </c>
      <c r="AF649" s="288"/>
      <c r="AG649" s="288"/>
      <c r="AH649" s="288"/>
      <c r="AI649" s="288"/>
      <c r="AJ649" s="288"/>
      <c r="AK649" s="288"/>
      <c r="AL649" s="288"/>
    </row>
    <row r="650" spans="2:38">
      <c r="B650" s="554" t="s">
        <v>66</v>
      </c>
      <c r="C650" s="555"/>
      <c r="D650" s="405">
        <f t="shared" si="98"/>
        <v>833.33333333333337</v>
      </c>
      <c r="E650" s="92">
        <f t="shared" si="99"/>
        <v>1000</v>
      </c>
      <c r="F650" s="26"/>
      <c r="G650" s="26"/>
      <c r="H650" s="5"/>
      <c r="AC650" s="297">
        <v>1000</v>
      </c>
      <c r="AD650" s="288"/>
      <c r="AE650" s="288"/>
      <c r="AF650" s="288"/>
      <c r="AG650" s="288"/>
      <c r="AH650" s="288"/>
      <c r="AI650" s="288"/>
      <c r="AJ650" s="288"/>
      <c r="AK650" s="288"/>
      <c r="AL650" s="288"/>
    </row>
    <row r="651" spans="2:38">
      <c r="B651" s="554" t="str">
        <f>IF($C$1="ENG","door handle-lock (for sliding doors)","ручка-замок (для дверей купе)")</f>
        <v>ручка-замок (для дверей купе)</v>
      </c>
      <c r="C651" s="555"/>
      <c r="D651" s="403">
        <f t="shared" si="98"/>
        <v>466.66666666666669</v>
      </c>
      <c r="E651" s="92">
        <f t="shared" si="99"/>
        <v>560</v>
      </c>
      <c r="F651" s="26"/>
      <c r="G651" s="26"/>
      <c r="I651" s="11"/>
      <c r="J651" s="11"/>
      <c r="K651" s="19"/>
      <c r="AC651" s="297">
        <v>560</v>
      </c>
      <c r="AD651" s="288">
        <v>560</v>
      </c>
      <c r="AE651" s="288">
        <f t="shared" ref="AE651:AE654" si="102">AD651/AC651-1</f>
        <v>0</v>
      </c>
      <c r="AF651" s="288"/>
      <c r="AG651" s="288"/>
      <c r="AH651" s="288"/>
      <c r="AI651" s="288"/>
      <c r="AJ651" s="288"/>
      <c r="AK651" s="288"/>
      <c r="AL651" s="288"/>
    </row>
    <row r="652" spans="2:38">
      <c r="B652" s="554" t="str">
        <f>IF($C$1="ENG","cylinder incert","циліндр несиметричний")</f>
        <v>циліндр несиметричний</v>
      </c>
      <c r="C652" s="555"/>
      <c r="D652" s="403">
        <f t="shared" si="98"/>
        <v>325</v>
      </c>
      <c r="E652" s="92">
        <f t="shared" si="99"/>
        <v>390</v>
      </c>
      <c r="F652" s="26"/>
      <c r="G652" s="26"/>
      <c r="AC652" s="297">
        <v>390</v>
      </c>
      <c r="AD652" s="288">
        <v>390</v>
      </c>
      <c r="AE652" s="288">
        <f t="shared" si="102"/>
        <v>0</v>
      </c>
      <c r="AF652" s="288"/>
      <c r="AG652" s="288"/>
      <c r="AH652" s="288"/>
      <c r="AI652" s="288"/>
      <c r="AJ652" s="288"/>
      <c r="AK652" s="288"/>
      <c r="AL652" s="288"/>
    </row>
    <row r="653" spans="2:38">
      <c r="B653" s="554" t="str">
        <f>IF($C$1="ENG","door hindge Prestige (1 unit)","завіса Prestige (1 шт)")</f>
        <v>завіса Prestige (1 шт)</v>
      </c>
      <c r="C653" s="555"/>
      <c r="D653" s="406">
        <f t="shared" si="98"/>
        <v>216.66666666666669</v>
      </c>
      <c r="E653" s="92">
        <f t="shared" si="99"/>
        <v>260</v>
      </c>
      <c r="F653" s="26"/>
      <c r="G653" s="26"/>
      <c r="AC653" s="297">
        <v>260</v>
      </c>
      <c r="AD653" s="288">
        <v>260</v>
      </c>
      <c r="AE653" s="288">
        <f t="shared" si="102"/>
        <v>0</v>
      </c>
      <c r="AF653" s="288"/>
      <c r="AG653" s="288"/>
      <c r="AH653" s="288"/>
      <c r="AI653" s="288"/>
      <c r="AJ653" s="288"/>
      <c r="AK653" s="288"/>
      <c r="AL653" s="288"/>
    </row>
    <row r="654" spans="2:38">
      <c r="B654" s="554" t="str">
        <f>IF($C$1="ENG","door hinge caps (1 set)","накладка на завіси (1 к-т)")</f>
        <v>накладка на завіси (1 к-т)</v>
      </c>
      <c r="C654" s="555"/>
      <c r="D654" s="406">
        <f t="shared" si="98"/>
        <v>66.666666666666671</v>
      </c>
      <c r="E654" s="92">
        <f t="shared" si="99"/>
        <v>80</v>
      </c>
      <c r="F654" s="26"/>
      <c r="G654" s="26"/>
      <c r="AC654" s="297">
        <v>80</v>
      </c>
      <c r="AD654" s="288">
        <v>80</v>
      </c>
      <c r="AE654" s="288">
        <f t="shared" si="102"/>
        <v>0</v>
      </c>
      <c r="AF654" s="288"/>
      <c r="AG654" s="288"/>
      <c r="AH654" s="288"/>
      <c r="AI654" s="288"/>
      <c r="AJ654" s="288"/>
      <c r="AK654" s="288"/>
      <c r="AL654" s="288"/>
    </row>
    <row r="655" spans="2:38">
      <c r="B655" s="554" t="str">
        <f>IF($C$1="ENG","door handle","дверна ручка")</f>
        <v>дверна ручка</v>
      </c>
      <c r="C655" s="555"/>
      <c r="D655" s="407" t="str">
        <f t="shared" si="98"/>
        <v/>
      </c>
      <c r="E655" s="246" t="str">
        <f>IF($C$1="ENG","see Handles Price","див. Таблицю Ручки")</f>
        <v>див. Таблицю Ручки</v>
      </c>
      <c r="F655" s="26"/>
      <c r="G655" s="26"/>
      <c r="AC655" s="288"/>
      <c r="AD655" s="288"/>
      <c r="AE655" s="288"/>
      <c r="AF655" s="288"/>
      <c r="AG655" s="288"/>
      <c r="AH655" s="288"/>
      <c r="AI655" s="288"/>
      <c r="AJ655" s="288"/>
      <c r="AK655" s="288"/>
      <c r="AL655" s="288"/>
    </row>
    <row r="656" spans="2:38" ht="14.25" customHeight="1">
      <c r="C656" s="244"/>
      <c r="D656" s="26"/>
      <c r="E656" s="26"/>
      <c r="F656" s="26"/>
      <c r="G656" s="26"/>
      <c r="H656" s="5"/>
      <c r="T656" s="536"/>
      <c r="U656" s="536"/>
      <c r="V656" s="536"/>
      <c r="W656" s="536"/>
    </row>
    <row r="657" spans="3:8" ht="14.25" customHeight="1">
      <c r="C657" s="244"/>
      <c r="D657" s="26"/>
      <c r="E657" s="26"/>
      <c r="F657" s="26"/>
      <c r="G657" s="26"/>
      <c r="H657" s="5"/>
    </row>
    <row r="658" spans="3:8" ht="14.25" customHeight="1">
      <c r="C658" s="244"/>
      <c r="D658" s="26"/>
      <c r="E658" s="26"/>
      <c r="F658" s="26"/>
      <c r="G658" s="26"/>
      <c r="H658" s="5"/>
    </row>
    <row r="659" spans="3:8" ht="14.25" customHeight="1">
      <c r="C659" s="244"/>
      <c r="D659" s="26"/>
      <c r="E659" s="26"/>
      <c r="F659" s="26"/>
      <c r="G659" s="26"/>
      <c r="H659" s="5"/>
    </row>
    <row r="660" spans="3:8" ht="14.25" customHeight="1">
      <c r="C660" s="244"/>
      <c r="D660" s="26"/>
      <c r="E660" s="26"/>
      <c r="F660" s="26"/>
      <c r="G660" s="26"/>
      <c r="H660" s="5"/>
    </row>
    <row r="661" spans="3:8" ht="14.25" customHeight="1">
      <c r="C661" s="244"/>
      <c r="D661" s="26"/>
      <c r="E661" s="26"/>
      <c r="F661" s="26"/>
      <c r="G661" s="26"/>
      <c r="H661" s="5"/>
    </row>
    <row r="662" spans="3:8" ht="14.25" customHeight="1">
      <c r="C662" s="244"/>
      <c r="D662" s="26"/>
      <c r="E662" s="26"/>
      <c r="F662" s="26"/>
      <c r="G662" s="26"/>
      <c r="H662" s="5"/>
    </row>
    <row r="663" spans="3:8" ht="14.25" customHeight="1">
      <c r="C663" s="244"/>
      <c r="D663" s="26"/>
      <c r="E663" s="26"/>
      <c r="F663" s="26"/>
      <c r="G663" s="26"/>
      <c r="H663" s="5"/>
    </row>
    <row r="664" spans="3:8" ht="14.25" customHeight="1">
      <c r="C664" s="244"/>
      <c r="D664" s="26"/>
      <c r="E664" s="26"/>
      <c r="F664" s="26"/>
      <c r="G664" s="26"/>
      <c r="H664" s="5"/>
    </row>
    <row r="665" spans="3:8" ht="14.25" customHeight="1">
      <c r="C665" s="244"/>
      <c r="D665" s="26"/>
      <c r="E665" s="26"/>
      <c r="F665" s="26"/>
      <c r="G665" s="26"/>
      <c r="H665" s="5"/>
    </row>
    <row r="666" spans="3:8" ht="14.25" customHeight="1">
      <c r="C666" s="244"/>
      <c r="D666" s="26"/>
      <c r="E666" s="26"/>
      <c r="F666" s="26"/>
      <c r="G666" s="26"/>
      <c r="H666" s="5"/>
    </row>
    <row r="667" spans="3:8" ht="14.25" customHeight="1">
      <c r="C667" s="244"/>
      <c r="D667" s="26"/>
      <c r="E667" s="26"/>
      <c r="F667" s="26"/>
      <c r="G667" s="26"/>
      <c r="H667" s="5"/>
    </row>
    <row r="668" spans="3:8" ht="14.25" customHeight="1">
      <c r="C668" s="244"/>
      <c r="D668" s="26"/>
      <c r="E668" s="26"/>
      <c r="F668" s="26"/>
      <c r="G668" s="26"/>
      <c r="H668" s="5"/>
    </row>
    <row r="669" spans="3:8" ht="14.25" customHeight="1">
      <c r="C669" s="244"/>
      <c r="D669" s="26"/>
      <c r="E669" s="26"/>
      <c r="F669" s="26"/>
      <c r="G669" s="26"/>
      <c r="H669" s="5"/>
    </row>
    <row r="670" spans="3:8" ht="14.25" customHeight="1">
      <c r="C670" s="244"/>
      <c r="D670" s="26"/>
      <c r="E670" s="26"/>
      <c r="F670" s="26"/>
      <c r="G670" s="26"/>
      <c r="H670" s="5"/>
    </row>
    <row r="671" spans="3:8" ht="14.25" customHeight="1">
      <c r="C671" s="244"/>
      <c r="D671" s="26"/>
      <c r="E671" s="26"/>
      <c r="F671" s="26"/>
      <c r="G671" s="26"/>
      <c r="H671" s="5"/>
    </row>
    <row r="672" spans="3:8" ht="14.25" customHeight="1">
      <c r="C672" s="244"/>
      <c r="D672" s="26"/>
      <c r="E672" s="26"/>
      <c r="F672" s="26"/>
      <c r="G672" s="26"/>
      <c r="H672" s="5"/>
    </row>
    <row r="673" spans="1:46" ht="14.25" customHeight="1">
      <c r="C673" s="244"/>
      <c r="D673" s="26"/>
      <c r="E673" s="26"/>
      <c r="F673" s="26"/>
      <c r="G673" s="26"/>
      <c r="H673" s="5"/>
    </row>
    <row r="674" spans="1:46" ht="14.25" customHeight="1">
      <c r="C674" s="244"/>
      <c r="D674" s="26"/>
      <c r="E674" s="26"/>
      <c r="F674" s="26"/>
      <c r="G674" s="26"/>
      <c r="H674" s="5"/>
    </row>
    <row r="675" spans="1:46" ht="14.25" customHeight="1">
      <c r="C675" s="244"/>
      <c r="D675" s="26"/>
      <c r="E675" s="26"/>
      <c r="F675" s="26"/>
      <c r="G675" s="26"/>
      <c r="H675" s="5"/>
    </row>
    <row r="676" spans="1:46" ht="14.25" customHeight="1">
      <c r="C676" s="244"/>
      <c r="D676" s="26"/>
      <c r="E676" s="26"/>
      <c r="F676" s="26"/>
      <c r="G676" s="26"/>
      <c r="H676" s="5"/>
    </row>
    <row r="677" spans="1:46" ht="14.25" customHeight="1">
      <c r="C677" s="244"/>
      <c r="D677" s="26"/>
      <c r="E677" s="26"/>
      <c r="F677" s="26"/>
      <c r="G677" s="26"/>
      <c r="H677" s="5"/>
    </row>
    <row r="678" spans="1:46" ht="14.25" customHeight="1">
      <c r="C678" s="244"/>
      <c r="D678" s="26"/>
      <c r="E678" s="26"/>
      <c r="F678" s="26"/>
      <c r="G678" s="26"/>
      <c r="H678" s="5"/>
    </row>
    <row r="679" spans="1:46" ht="14.25" customHeight="1">
      <c r="C679" s="244"/>
      <c r="D679" s="26"/>
      <c r="E679" s="26"/>
      <c r="F679" s="26"/>
      <c r="G679" s="26"/>
      <c r="H679" s="5"/>
    </row>
    <row r="680" spans="1:46" ht="14.25" customHeight="1">
      <c r="C680" s="244"/>
      <c r="D680" s="26"/>
      <c r="E680" s="26"/>
      <c r="F680" s="26"/>
      <c r="G680" s="26"/>
      <c r="H680" s="5"/>
    </row>
    <row r="681" spans="1:46" ht="14.25" customHeight="1">
      <c r="C681" s="244"/>
      <c r="D681" s="26"/>
      <c r="E681" s="26"/>
      <c r="F681" s="26"/>
      <c r="G681" s="26"/>
      <c r="H681" s="5"/>
    </row>
    <row r="682" spans="1:46" s="8" customFormat="1">
      <c r="B682" s="550" t="str">
        <f>TITLE!$C$18</f>
        <v>Полотна збірні: ЛАДА A</v>
      </c>
      <c r="C682" s="550"/>
      <c r="D682" s="117"/>
      <c r="E682" s="117"/>
      <c r="F682" s="117"/>
      <c r="G682" s="117"/>
      <c r="H682" s="552"/>
      <c r="I682" s="552"/>
      <c r="J682" s="120"/>
      <c r="K682" s="120"/>
      <c r="L682" s="120"/>
      <c r="M682" s="120"/>
      <c r="N682" s="120"/>
      <c r="O682" s="120"/>
      <c r="P682" s="120"/>
      <c r="Q682" s="120"/>
      <c r="R682" s="120"/>
      <c r="S682" s="545" t="str">
        <f>IF($C$1="ENG",CONCATENATE("up to: ",B364),CONCATENATE("вгору до: ",B364))</f>
        <v>вгору до: Полотна каркасно-щитові: ІДЕЯ-ЛОФТ</v>
      </c>
      <c r="T682" s="546"/>
      <c r="U682" s="546"/>
      <c r="V682" s="546"/>
      <c r="W682" s="546"/>
      <c r="AN682" s="279"/>
      <c r="AO682" s="279"/>
      <c r="AP682" s="279"/>
      <c r="AQ682" s="279"/>
      <c r="AR682" s="279"/>
      <c r="AS682" s="279"/>
      <c r="AT682" s="279"/>
    </row>
    <row r="683" spans="1:46" s="8" customFormat="1" ht="5.0999999999999996" customHeight="1">
      <c r="B683" s="116"/>
      <c r="C683" s="418"/>
      <c r="D683" s="9"/>
      <c r="E683" s="9"/>
      <c r="F683" s="9"/>
      <c r="G683" s="9"/>
      <c r="H683" s="119"/>
      <c r="I683" s="119"/>
      <c r="T683" s="114"/>
      <c r="U683" s="114"/>
      <c r="V683" s="114"/>
      <c r="W683" s="114"/>
      <c r="AN683" s="279"/>
      <c r="AO683" s="279"/>
      <c r="AP683" s="279"/>
      <c r="AQ683" s="279"/>
      <c r="AR683" s="279"/>
      <c r="AS683" s="279"/>
      <c r="AT683" s="279"/>
    </row>
    <row r="684" spans="1:46" s="8" customFormat="1" ht="12.75" customHeight="1">
      <c r="B684" s="556" t="str">
        <f>IF($C$1="ENG","model","модель")</f>
        <v>модель</v>
      </c>
      <c r="C684" s="121" t="str">
        <f>IF($C$1="ENG","cover:","покриття:")</f>
        <v>покриття:</v>
      </c>
      <c r="D684" s="538" t="str">
        <f>IF($C$1="ENG","Verto-CELL","Verto-CELL")</f>
        <v>Verto-CELL</v>
      </c>
      <c r="E684" s="539"/>
      <c r="F684" s="538" t="str">
        <f>IF($C$1="ENG","UNI-MAT","UNI-MAT")</f>
        <v>UNI-MAT</v>
      </c>
      <c r="G684" s="539"/>
      <c r="H684" s="538" t="str">
        <f>IF($C$1="ENG","RESIST","RESIST")</f>
        <v>RESIST</v>
      </c>
      <c r="I684" s="539"/>
      <c r="J684" s="538" t="str">
        <f>IF($C$1="ENG","Verto LINE-3D","Verto LINE-3D")</f>
        <v>Verto LINE-3D</v>
      </c>
      <c r="K684" s="539"/>
      <c r="L684" s="538" t="str">
        <f>IF($C$1="ENG","ECO Shpon","ЕКО Шпон")</f>
        <v>ЕКО Шпон</v>
      </c>
      <c r="M684" s="539"/>
      <c r="N684" s="1"/>
      <c r="O684" s="1"/>
      <c r="T684" s="114"/>
      <c r="U684" s="114"/>
      <c r="V684" s="114"/>
      <c r="W684" s="114"/>
      <c r="AN684" s="279"/>
      <c r="AO684" s="279"/>
      <c r="AP684" s="279"/>
      <c r="AQ684" s="279"/>
      <c r="AR684" s="279"/>
      <c r="AS684" s="279"/>
      <c r="AT684" s="279"/>
    </row>
    <row r="685" spans="1:46" s="8" customFormat="1" ht="24.95" customHeight="1">
      <c r="B685" s="557"/>
      <c r="C685" s="122" t="str">
        <f>IF($C$1="ENG","filling:","заповнення:")</f>
        <v>заповнення:</v>
      </c>
      <c r="D685" s="540" t="str">
        <f>IF($C$1="ENG","softwood","клеєний сосновий брус")</f>
        <v>клеєний сосновий брус</v>
      </c>
      <c r="E685" s="541"/>
      <c r="F685" s="540" t="str">
        <f>IF($C$1="ENG","softwood","клеєний сосновий брус")</f>
        <v>клеєний сосновий брус</v>
      </c>
      <c r="G685" s="541"/>
      <c r="H685" s="540" t="str">
        <f>IF($C$1="ENG","softwood","клеєний сосновий брус")</f>
        <v>клеєний сосновий брус</v>
      </c>
      <c r="I685" s="541"/>
      <c r="J685" s="540" t="str">
        <f>IF($C$1="ENG","softwood","клеєний сосновий брус")</f>
        <v>клеєний сосновий брус</v>
      </c>
      <c r="K685" s="541"/>
      <c r="L685" s="540" t="str">
        <f>IF($C$1="ENG","softwood","клеєний сосновий брус")</f>
        <v>клеєний сосновий брус</v>
      </c>
      <c r="M685" s="541"/>
      <c r="N685" s="1"/>
      <c r="O685" s="1"/>
      <c r="T685" s="114"/>
      <c r="U685" s="114"/>
      <c r="V685" s="114"/>
      <c r="W685" s="114"/>
      <c r="AD685" s="381">
        <f>AD687/AC687-1</f>
        <v>0.1396468699839486</v>
      </c>
      <c r="AE685" s="381">
        <f>AE687/AD687-1</f>
        <v>4.0845070422535157E-2</v>
      </c>
      <c r="AF685" s="381">
        <f>AF687/AE687-1</f>
        <v>8.9309878213802429E-2</v>
      </c>
      <c r="AG685" s="381">
        <f>AG687/AF687-1</f>
        <v>5.2173913043478182E-2</v>
      </c>
      <c r="AN685" s="279"/>
      <c r="AO685" s="279"/>
      <c r="AP685" s="279"/>
      <c r="AQ685" s="279"/>
      <c r="AR685" s="279"/>
      <c r="AS685" s="279"/>
      <c r="AT685" s="279"/>
    </row>
    <row r="686" spans="1:46" ht="12.75" customHeight="1">
      <c r="A686" s="8"/>
      <c r="B686" s="558"/>
      <c r="C686" s="123" t="str">
        <f>IF($C$1="ENG","glazing:","скління:")</f>
        <v>скління:</v>
      </c>
      <c r="D686" s="542" t="str">
        <f>IF($C$1="ENG","Satin","Сатин")</f>
        <v>Сатин</v>
      </c>
      <c r="E686" s="543"/>
      <c r="F686" s="542" t="str">
        <f>IF($C$1="ENG","Satin","Сатин")</f>
        <v>Сатин</v>
      </c>
      <c r="G686" s="543"/>
      <c r="H686" s="542" t="str">
        <f>IF($C$1="ENG","Satin","Сатин")</f>
        <v>Сатин</v>
      </c>
      <c r="I686" s="543"/>
      <c r="J686" s="542" t="str">
        <f>IF($C$1="ENG","Satin","Сатин")</f>
        <v>Сатин</v>
      </c>
      <c r="K686" s="543"/>
      <c r="L686" s="542" t="str">
        <f>IF($C$1="ENG","Satin","Сатин")</f>
        <v>Сатин</v>
      </c>
      <c r="M686" s="543"/>
    </row>
    <row r="687" spans="1:46" ht="35.1" customHeight="1">
      <c r="A687" s="8"/>
      <c r="B687" s="16" t="s">
        <v>26</v>
      </c>
      <c r="C687" s="17"/>
      <c r="D687" s="18">
        <f>IF(AC687="","",(1-$W$2)*(AC687/1.2))</f>
        <v>5191.666666666667</v>
      </c>
      <c r="E687" s="66">
        <f>IF($W$5=0.2,D687*1.2,D687)/$W$4</f>
        <v>6230</v>
      </c>
      <c r="F687" s="18">
        <f>IF(AD687="","",(1-$W$2)*(AD687/1.2))</f>
        <v>5916.666666666667</v>
      </c>
      <c r="G687" s="66">
        <f>IF($W$5=0.2,F687*1.2,F687)/$W$4</f>
        <v>7100</v>
      </c>
      <c r="H687" s="18">
        <f>IF(AE687="","",(1-$W$2)*(AE687/1.2))</f>
        <v>6158.3333333333339</v>
      </c>
      <c r="I687" s="66">
        <f>IF($W$5=0.2,H687*1.2,H687)/$W$4</f>
        <v>7390</v>
      </c>
      <c r="J687" s="18">
        <f>IF(AF687="","",(1-$W$2)*(AF687/1.2))</f>
        <v>6708.3333333333339</v>
      </c>
      <c r="K687" s="66">
        <f>IF($W$5=0.2,J687*1.2,J687)/$W$4</f>
        <v>8050</v>
      </c>
      <c r="L687" s="18">
        <f>IF(AG687="","",(1-$W$2)*(AG687/1.2))</f>
        <v>7058.3333333333339</v>
      </c>
      <c r="M687" s="66">
        <f>IF($W$5=0.2,L687*1.2,L687)/$W$4</f>
        <v>8470</v>
      </c>
      <c r="R687" s="103"/>
      <c r="T687" s="103"/>
      <c r="U687" s="20"/>
      <c r="V687" s="103"/>
      <c r="W687" s="20"/>
      <c r="X687" s="103"/>
      <c r="Y687" s="103"/>
      <c r="Z687" s="103"/>
      <c r="AA687" s="103"/>
      <c r="AB687" s="103"/>
      <c r="AC687" s="331">
        <v>6230</v>
      </c>
      <c r="AD687" s="389">
        <v>7100</v>
      </c>
      <c r="AE687" s="331">
        <v>7390</v>
      </c>
      <c r="AF687" s="331">
        <v>8050</v>
      </c>
      <c r="AG687" s="331">
        <v>8470</v>
      </c>
      <c r="AH687" s="288">
        <v>6230</v>
      </c>
      <c r="AI687" s="288">
        <f>AH687/AC687-1</f>
        <v>0</v>
      </c>
      <c r="AJ687" s="288">
        <v>7100</v>
      </c>
      <c r="AK687" s="288">
        <f>AJ687/AD687-1</f>
        <v>0</v>
      </c>
      <c r="AL687" s="288">
        <v>7390</v>
      </c>
      <c r="AM687" s="288">
        <f>AL687/AE687-1</f>
        <v>0</v>
      </c>
      <c r="AN687" s="288">
        <v>8050</v>
      </c>
      <c r="AO687" s="288">
        <f>AN687/AF687-1</f>
        <v>0</v>
      </c>
      <c r="AP687" s="288">
        <v>8470</v>
      </c>
      <c r="AQ687" s="288">
        <f>AP687/AG687-1</f>
        <v>0</v>
      </c>
    </row>
    <row r="688" spans="1:46" ht="35.1" customHeight="1">
      <c r="A688" s="8"/>
      <c r="B688" s="16" t="s">
        <v>27</v>
      </c>
      <c r="C688" s="17"/>
      <c r="D688" s="18">
        <f>IF(AC688="","",(1-$W$2)*(AC688/1.2))</f>
        <v>5191.666666666667</v>
      </c>
      <c r="E688" s="66">
        <f>IF($W$5=0.2,D688*1.2,D688)/$W$4</f>
        <v>6230</v>
      </c>
      <c r="F688" s="18">
        <f>IF(AD688="","",(1-$W$2)*(AD688/1.2))</f>
        <v>5916.666666666667</v>
      </c>
      <c r="G688" s="66">
        <f>IF($W$5=0.2,F688*1.2,F688)/$W$4</f>
        <v>7100</v>
      </c>
      <c r="H688" s="18">
        <f>IF(AE688="","",(1-$W$2)*(AE688/1.2))</f>
        <v>6158.3333333333339</v>
      </c>
      <c r="I688" s="66">
        <f>IF($W$5=0.2,H688*1.2,H688)/$W$4</f>
        <v>7390</v>
      </c>
      <c r="J688" s="18">
        <f>IF(AF688="","",(1-$W$2)*(AF688/1.2))</f>
        <v>6708.3333333333339</v>
      </c>
      <c r="K688" s="66">
        <f>IF($W$5=0.2,J688*1.2,J688)/$W$4</f>
        <v>8050</v>
      </c>
      <c r="L688" s="18">
        <f>IF(AG688="","",(1-$W$2)*(AG688/1.2))</f>
        <v>7058.3333333333339</v>
      </c>
      <c r="M688" s="66">
        <f>IF($W$5=0.2,L688*1.2,L688)/$W$4</f>
        <v>8470</v>
      </c>
      <c r="R688" s="103"/>
      <c r="T688" s="103"/>
      <c r="U688" s="20"/>
      <c r="V688" s="103"/>
      <c r="W688" s="20"/>
      <c r="X688" s="103"/>
      <c r="Y688" s="103"/>
      <c r="Z688" s="103"/>
      <c r="AA688" s="103"/>
      <c r="AB688" s="103"/>
      <c r="AC688" s="331">
        <v>6230</v>
      </c>
      <c r="AD688" s="389">
        <v>7100</v>
      </c>
      <c r="AE688" s="331">
        <v>7390</v>
      </c>
      <c r="AF688" s="331">
        <v>8050</v>
      </c>
      <c r="AG688" s="331">
        <v>8470</v>
      </c>
      <c r="AH688" s="288">
        <v>6230</v>
      </c>
      <c r="AI688" s="288">
        <f t="shared" ref="AI688:AI689" si="103">AH688/AC688-1</f>
        <v>0</v>
      </c>
      <c r="AJ688" s="288">
        <v>7100</v>
      </c>
      <c r="AK688" s="288">
        <f>AJ688/AD688-1</f>
        <v>0</v>
      </c>
      <c r="AL688" s="288">
        <v>7390</v>
      </c>
      <c r="AM688" s="288">
        <f t="shared" ref="AM688:AM689" si="104">AL688/AE688-1</f>
        <v>0</v>
      </c>
      <c r="AN688" s="288">
        <v>8050</v>
      </c>
      <c r="AO688" s="288">
        <f t="shared" ref="AO688:AO689" si="105">AN688/AF688-1</f>
        <v>0</v>
      </c>
      <c r="AP688" s="288">
        <v>8470</v>
      </c>
      <c r="AQ688" s="288">
        <f t="shared" ref="AQ688:AQ689" si="106">AP688/AG688-1</f>
        <v>0</v>
      </c>
    </row>
    <row r="689" spans="1:43" ht="35.1" customHeight="1">
      <c r="A689" s="8"/>
      <c r="B689" s="23" t="s">
        <v>36</v>
      </c>
      <c r="C689" s="24"/>
      <c r="D689" s="25">
        <f>IF(AC689="","",(1-$W$2)*(AC689/1.2))</f>
        <v>5191.666666666667</v>
      </c>
      <c r="E689" s="69">
        <f>IF($W$5=0.2,D689*1.2,D689)/$W$4</f>
        <v>6230</v>
      </c>
      <c r="F689" s="25">
        <f>IF(AD689="","",(1-$W$2)*(AD689/1.2))</f>
        <v>5916.666666666667</v>
      </c>
      <c r="G689" s="69">
        <f>IF($W$5=0.2,F689*1.2,F689)/$W$4</f>
        <v>7100</v>
      </c>
      <c r="H689" s="25">
        <f>IF(AE689="","",(1-$W$2)*(AE689/1.2))</f>
        <v>6158.3333333333339</v>
      </c>
      <c r="I689" s="69">
        <f>IF($W$5=0.2,H689*1.2,H689)/$W$4</f>
        <v>7390</v>
      </c>
      <c r="J689" s="25">
        <f>IF(AF689="","",(1-$W$2)*(AF689/1.2))</f>
        <v>6708.3333333333339</v>
      </c>
      <c r="K689" s="69">
        <f>IF($W$5=0.2,J689*1.2,J689)/$W$4</f>
        <v>8050</v>
      </c>
      <c r="L689" s="25">
        <f>IF(AG689="","",(1-$W$2)*(AG689/1.2))</f>
        <v>7058.3333333333339</v>
      </c>
      <c r="M689" s="69">
        <f>IF($W$5=0.2,L689*1.2,L689)/$W$4</f>
        <v>8470</v>
      </c>
      <c r="R689" s="103"/>
      <c r="T689" s="103"/>
      <c r="U689" s="20"/>
      <c r="V689" s="103"/>
      <c r="W689" s="20"/>
      <c r="X689" s="103"/>
      <c r="Y689" s="103"/>
      <c r="Z689" s="103"/>
      <c r="AA689" s="103"/>
      <c r="AB689" s="103"/>
      <c r="AC689" s="331">
        <v>6230</v>
      </c>
      <c r="AD689" s="389">
        <v>7100</v>
      </c>
      <c r="AE689" s="331">
        <v>7390</v>
      </c>
      <c r="AF689" s="331">
        <v>8050</v>
      </c>
      <c r="AG689" s="331">
        <v>8470</v>
      </c>
      <c r="AH689" s="288">
        <v>6230</v>
      </c>
      <c r="AI689" s="288">
        <f t="shared" si="103"/>
        <v>0</v>
      </c>
      <c r="AJ689" s="288">
        <v>7100</v>
      </c>
      <c r="AK689" s="288">
        <f t="shared" ref="AK689" si="107">AJ689/AD689-1</f>
        <v>0</v>
      </c>
      <c r="AL689" s="288">
        <v>7390</v>
      </c>
      <c r="AM689" s="288">
        <f t="shared" si="104"/>
        <v>0</v>
      </c>
      <c r="AN689" s="288">
        <v>8050</v>
      </c>
      <c r="AO689" s="288">
        <f t="shared" si="105"/>
        <v>0</v>
      </c>
      <c r="AP689" s="288">
        <v>8470</v>
      </c>
      <c r="AQ689" s="288">
        <f t="shared" si="106"/>
        <v>0</v>
      </c>
    </row>
    <row r="690" spans="1:43">
      <c r="C690" s="244"/>
      <c r="D690" s="26"/>
      <c r="E690" s="57"/>
      <c r="F690" s="26"/>
      <c r="G690" s="57"/>
      <c r="H690" s="10"/>
      <c r="I690" s="8"/>
      <c r="J690" s="8"/>
      <c r="K690" s="8"/>
    </row>
    <row r="691" spans="1:43">
      <c r="B691" s="211" t="str">
        <f>IF($C$1="ENG","For additonal charge:","Послуги за додаткову плату:")</f>
        <v>Послуги за додаткову плату:</v>
      </c>
      <c r="C691" s="419"/>
      <c r="D691" s="212"/>
      <c r="E691" s="213"/>
      <c r="F691" s="26"/>
      <c r="G691" s="57"/>
      <c r="H691" s="10"/>
      <c r="I691" s="8"/>
      <c r="J691" s="8"/>
      <c r="K691" s="8"/>
    </row>
    <row r="692" spans="1:43" ht="5.0999999999999996" customHeight="1">
      <c r="B692" s="27"/>
      <c r="C692" s="244"/>
      <c r="D692" s="26"/>
      <c r="E692" s="57"/>
      <c r="F692" s="26"/>
      <c r="G692" s="57"/>
      <c r="H692" s="10"/>
      <c r="I692" s="8"/>
      <c r="J692" s="8"/>
      <c r="K692" s="8"/>
    </row>
    <row r="693" spans="1:43">
      <c r="B693" s="561" t="str">
        <f>IF($C$1="ENG","door leaf with width 100","полотно розміром 100")</f>
        <v>полотно розміром 100</v>
      </c>
      <c r="C693" s="562"/>
      <c r="D693" s="408">
        <f t="shared" ref="D693:D704" si="108">IF(AC693="","",(1-$W$2)*(AC693/1.2))</f>
        <v>600</v>
      </c>
      <c r="E693" s="91">
        <f>IF($W$5=0.2,D693*1.2,D693)/$W$4</f>
        <v>720</v>
      </c>
      <c r="F693" s="26"/>
      <c r="G693" s="26"/>
      <c r="H693" s="10"/>
      <c r="I693" s="8"/>
      <c r="J693" s="8"/>
      <c r="K693" s="8"/>
      <c r="AC693" s="297">
        <v>720</v>
      </c>
      <c r="AD693" s="288">
        <v>720</v>
      </c>
      <c r="AE693" s="288">
        <f>AD693/AC693-1</f>
        <v>0</v>
      </c>
      <c r="AF693" s="288"/>
      <c r="AG693" s="288"/>
      <c r="AH693" s="288"/>
      <c r="AI693" s="288"/>
      <c r="AJ693" s="288"/>
      <c r="AK693" s="288"/>
      <c r="AL693" s="288"/>
    </row>
    <row r="694" spans="1:43">
      <c r="B694" s="561" t="str">
        <f>IF($C$1="ENG","Ventilation cut","вентиляційний підріз")</f>
        <v>вентиляційний підріз</v>
      </c>
      <c r="C694" s="562"/>
      <c r="D694" s="403">
        <f t="shared" si="108"/>
        <v>141.66666666666669</v>
      </c>
      <c r="E694" s="66">
        <f t="shared" ref="E694:E703" si="109">IF($W$5=0.2,D694*1.2,D694)/$W$4</f>
        <v>170.00000000000003</v>
      </c>
      <c r="F694" s="26"/>
      <c r="G694" s="26"/>
      <c r="I694" s="59"/>
      <c r="J694" s="28"/>
      <c r="AC694" s="297">
        <v>170</v>
      </c>
      <c r="AD694" s="288">
        <v>170</v>
      </c>
      <c r="AE694" s="288">
        <f t="shared" ref="AE694:AE703" si="110">AD694/AC694-1</f>
        <v>0</v>
      </c>
      <c r="AF694" s="288"/>
      <c r="AG694" s="288"/>
      <c r="AH694" s="288"/>
      <c r="AI694" s="288"/>
      <c r="AJ694" s="288"/>
      <c r="AK694" s="288"/>
      <c r="AL694" s="288"/>
    </row>
    <row r="695" spans="1:43">
      <c r="B695" s="554" t="str">
        <f>IF($C$1="ENG","glazing Graphite / Bronze","скло Графіт / Бронза")</f>
        <v>скло Графіт / Бронза</v>
      </c>
      <c r="C695" s="555"/>
      <c r="D695" s="405">
        <f t="shared" si="108"/>
        <v>458.33333333333337</v>
      </c>
      <c r="E695" s="92">
        <f t="shared" si="109"/>
        <v>550</v>
      </c>
      <c r="F695" s="26"/>
      <c r="G695" s="26"/>
      <c r="H695" s="5"/>
      <c r="AC695" s="297">
        <v>550</v>
      </c>
      <c r="AD695" s="288">
        <v>550</v>
      </c>
      <c r="AE695" s="288">
        <f t="shared" si="110"/>
        <v>0</v>
      </c>
      <c r="AF695" s="288"/>
      <c r="AG695" s="288"/>
      <c r="AH695" s="288"/>
      <c r="AI695" s="288"/>
      <c r="AJ695" s="288"/>
      <c r="AK695" s="288"/>
      <c r="AL695" s="288"/>
    </row>
    <row r="696" spans="1:43">
      <c r="B696" s="554" t="str">
        <f>IF($C$1="ENG","door lock Soft","замок Soft")</f>
        <v>замок Soft</v>
      </c>
      <c r="C696" s="555"/>
      <c r="D696" s="405">
        <f t="shared" si="108"/>
        <v>458.33333333333337</v>
      </c>
      <c r="E696" s="92">
        <f t="shared" si="109"/>
        <v>550</v>
      </c>
      <c r="F696" s="26"/>
      <c r="G696" s="26"/>
      <c r="H696" s="5"/>
      <c r="AC696" s="297">
        <v>550</v>
      </c>
      <c r="AD696" s="288">
        <v>550</v>
      </c>
      <c r="AE696" s="288">
        <f t="shared" si="110"/>
        <v>0</v>
      </c>
      <c r="AF696" s="288"/>
      <c r="AG696" s="288"/>
      <c r="AH696" s="288"/>
      <c r="AI696" s="288"/>
      <c r="AJ696" s="288"/>
      <c r="AK696" s="288"/>
      <c r="AL696" s="288"/>
    </row>
    <row r="697" spans="1:43">
      <c r="B697" s="554" t="str">
        <f>IF($C$1="ENG","door lock Soft black","замок Soft чорн.")</f>
        <v>замок Soft чорн.</v>
      </c>
      <c r="C697" s="555"/>
      <c r="D697" s="405">
        <f t="shared" ref="D697" si="111">IF(AC697="","",(1-$W$2)*(AC697/1.2))</f>
        <v>566.66666666666674</v>
      </c>
      <c r="E697" s="92">
        <f t="shared" ref="E697" si="112">IF($W$5=0.2,D697*1.2,D697)/$W$4</f>
        <v>680.00000000000011</v>
      </c>
      <c r="F697" s="26"/>
      <c r="G697" s="26"/>
      <c r="H697" s="5"/>
      <c r="AC697" s="297">
        <v>680</v>
      </c>
      <c r="AD697" s="288"/>
      <c r="AE697" s="288"/>
      <c r="AF697" s="288"/>
      <c r="AG697" s="288"/>
      <c r="AH697" s="288"/>
      <c r="AI697" s="288"/>
      <c r="AJ697" s="288"/>
      <c r="AK697" s="288"/>
      <c r="AL697" s="288"/>
    </row>
    <row r="698" spans="1:43">
      <c r="B698" s="554" t="str">
        <f>IF($C$1="ENG","door lock Magnet","замок Magnet")</f>
        <v>замок Magnet</v>
      </c>
      <c r="C698" s="555"/>
      <c r="D698" s="405">
        <f t="shared" si="108"/>
        <v>666.66666666666674</v>
      </c>
      <c r="E698" s="92">
        <f t="shared" si="109"/>
        <v>800.00000000000011</v>
      </c>
      <c r="F698" s="26"/>
      <c r="G698" s="26"/>
      <c r="H698" s="5"/>
      <c r="AC698" s="297">
        <v>800</v>
      </c>
      <c r="AD698" s="288">
        <v>800</v>
      </c>
      <c r="AE698" s="288">
        <f t="shared" si="110"/>
        <v>0</v>
      </c>
      <c r="AF698" s="288"/>
      <c r="AG698" s="288"/>
      <c r="AH698" s="288"/>
      <c r="AI698" s="288"/>
      <c r="AJ698" s="288"/>
      <c r="AK698" s="288"/>
      <c r="AL698" s="288"/>
    </row>
    <row r="699" spans="1:43">
      <c r="B699" s="554" t="s">
        <v>66</v>
      </c>
      <c r="C699" s="555"/>
      <c r="D699" s="405">
        <f t="shared" ref="D699" si="113">IF(AC699="","",(1-$W$2)*(AC699/1.2))</f>
        <v>833.33333333333337</v>
      </c>
      <c r="E699" s="92">
        <f t="shared" ref="E699" si="114">IF($W$5=0.2,D699*1.2,D699)/$W$4</f>
        <v>1000</v>
      </c>
      <c r="F699" s="26"/>
      <c r="G699" s="26"/>
      <c r="H699" s="5"/>
      <c r="AC699" s="297">
        <v>1000</v>
      </c>
      <c r="AD699" s="288"/>
      <c r="AE699" s="288"/>
      <c r="AF699" s="288"/>
      <c r="AG699" s="288"/>
      <c r="AH699" s="288"/>
      <c r="AI699" s="288"/>
      <c r="AJ699" s="288"/>
      <c r="AK699" s="288"/>
      <c r="AL699" s="288"/>
    </row>
    <row r="700" spans="1:43">
      <c r="B700" s="554" t="str">
        <f>IF($C$1="ENG","door handle-lock (for sliding doors)","ручка-замок (для дверей купе)")</f>
        <v>ручка-замок (для дверей купе)</v>
      </c>
      <c r="C700" s="555"/>
      <c r="D700" s="403">
        <f t="shared" si="108"/>
        <v>466.66666666666669</v>
      </c>
      <c r="E700" s="92">
        <f t="shared" si="109"/>
        <v>560</v>
      </c>
      <c r="F700" s="26"/>
      <c r="G700" s="26"/>
      <c r="I700" s="11"/>
      <c r="J700" s="11"/>
      <c r="K700" s="19"/>
      <c r="AC700" s="297">
        <v>560</v>
      </c>
      <c r="AD700" s="288">
        <v>560</v>
      </c>
      <c r="AE700" s="288">
        <f t="shared" si="110"/>
        <v>0</v>
      </c>
      <c r="AF700" s="288"/>
      <c r="AG700" s="288"/>
      <c r="AH700" s="288"/>
      <c r="AI700" s="288"/>
      <c r="AJ700" s="288"/>
      <c r="AK700" s="288"/>
      <c r="AL700" s="288"/>
    </row>
    <row r="701" spans="1:43">
      <c r="B701" s="554" t="str">
        <f>IF($C$1="ENG","cylinder incert","циліндр несиметричний")</f>
        <v>циліндр несиметричний</v>
      </c>
      <c r="C701" s="555"/>
      <c r="D701" s="403">
        <f t="shared" si="108"/>
        <v>325</v>
      </c>
      <c r="E701" s="92">
        <f t="shared" si="109"/>
        <v>390</v>
      </c>
      <c r="F701" s="26"/>
      <c r="G701" s="26"/>
      <c r="AC701" s="297">
        <v>390</v>
      </c>
      <c r="AD701" s="288">
        <v>390</v>
      </c>
      <c r="AE701" s="288">
        <f t="shared" si="110"/>
        <v>0</v>
      </c>
      <c r="AF701" s="288"/>
      <c r="AG701" s="288"/>
      <c r="AH701" s="288"/>
      <c r="AI701" s="288"/>
      <c r="AJ701" s="288"/>
      <c r="AK701" s="288"/>
      <c r="AL701" s="288"/>
    </row>
    <row r="702" spans="1:43">
      <c r="B702" s="554" t="str">
        <f>IF($C$1="ENG","door hindge Prestige (1 unit)","завіса Prestige (1 шт)")</f>
        <v>завіса Prestige (1 шт)</v>
      </c>
      <c r="C702" s="555"/>
      <c r="D702" s="406">
        <f t="shared" si="108"/>
        <v>216.66666666666669</v>
      </c>
      <c r="E702" s="92">
        <f t="shared" si="109"/>
        <v>260</v>
      </c>
      <c r="F702" s="26"/>
      <c r="G702" s="26"/>
      <c r="AC702" s="297">
        <v>260</v>
      </c>
      <c r="AD702" s="288">
        <v>260</v>
      </c>
      <c r="AE702" s="288">
        <f t="shared" si="110"/>
        <v>0</v>
      </c>
      <c r="AF702" s="288"/>
      <c r="AG702" s="288"/>
      <c r="AH702" s="288"/>
      <c r="AI702" s="288"/>
      <c r="AJ702" s="288"/>
      <c r="AK702" s="288"/>
      <c r="AL702" s="288"/>
    </row>
    <row r="703" spans="1:43">
      <c r="B703" s="554" t="str">
        <f>IF($C$1="ENG","door hinge caps (1 set)","накладка на завіси (1 к-т)")</f>
        <v>накладка на завіси (1 к-т)</v>
      </c>
      <c r="C703" s="555"/>
      <c r="D703" s="406">
        <f t="shared" si="108"/>
        <v>66.666666666666671</v>
      </c>
      <c r="E703" s="92">
        <f t="shared" si="109"/>
        <v>80</v>
      </c>
      <c r="F703" s="26"/>
      <c r="G703" s="26"/>
      <c r="AC703" s="297">
        <v>80</v>
      </c>
      <c r="AD703" s="288">
        <v>80</v>
      </c>
      <c r="AE703" s="288">
        <f t="shared" si="110"/>
        <v>0</v>
      </c>
      <c r="AF703" s="288"/>
      <c r="AG703" s="288"/>
      <c r="AH703" s="288"/>
      <c r="AI703" s="288"/>
      <c r="AJ703" s="288"/>
      <c r="AK703" s="288"/>
      <c r="AL703" s="288"/>
    </row>
    <row r="704" spans="1:43">
      <c r="B704" s="554" t="str">
        <f>IF($C$1="ENG","door handle","дверна ручка")</f>
        <v>дверна ручка</v>
      </c>
      <c r="C704" s="555"/>
      <c r="D704" s="407" t="str">
        <f t="shared" si="108"/>
        <v/>
      </c>
      <c r="E704" s="246" t="str">
        <f>IF($C$1="ENG","see Handles Price","див. Таблицю Ручки")</f>
        <v>див. Таблицю Ручки</v>
      </c>
      <c r="F704" s="26"/>
      <c r="G704" s="26"/>
      <c r="AC704" s="288"/>
      <c r="AD704" s="288"/>
      <c r="AE704" s="288"/>
      <c r="AF704" s="288"/>
      <c r="AG704" s="288"/>
      <c r="AH704" s="288"/>
      <c r="AI704" s="288"/>
      <c r="AJ704" s="288"/>
      <c r="AK704" s="288"/>
      <c r="AL704" s="288"/>
    </row>
    <row r="705" spans="3:23" ht="14.25" customHeight="1">
      <c r="C705" s="244"/>
      <c r="D705" s="26"/>
      <c r="E705" s="26"/>
      <c r="F705" s="26"/>
      <c r="G705" s="26"/>
      <c r="H705" s="5"/>
      <c r="T705" s="536" t="str">
        <f>IF($C$1="ENG",CONCATENATE("down to: ",B755),CONCATENATE("вниз до: ",B755))</f>
        <v>вниз до: Полотна збірні: ЛАДА B</v>
      </c>
      <c r="U705" s="536"/>
      <c r="V705" s="536"/>
      <c r="W705" s="536"/>
    </row>
    <row r="706" spans="3:23" ht="14.25" customHeight="1">
      <c r="C706" s="244"/>
      <c r="D706" s="26"/>
      <c r="E706" s="26"/>
      <c r="F706" s="26"/>
      <c r="G706" s="26"/>
      <c r="H706" s="5"/>
    </row>
    <row r="707" spans="3:23" ht="14.25" customHeight="1">
      <c r="C707" s="244"/>
      <c r="D707" s="26"/>
      <c r="E707" s="26"/>
      <c r="F707" s="26"/>
      <c r="G707" s="26"/>
      <c r="H707" s="5"/>
    </row>
    <row r="708" spans="3:23" ht="14.25" customHeight="1">
      <c r="C708" s="244"/>
      <c r="D708" s="26"/>
      <c r="E708" s="26"/>
      <c r="F708" s="26"/>
      <c r="G708" s="26"/>
      <c r="H708" s="5"/>
    </row>
    <row r="709" spans="3:23" ht="14.25" customHeight="1">
      <c r="C709" s="244"/>
      <c r="D709" s="26"/>
      <c r="E709" s="26"/>
      <c r="F709" s="26"/>
      <c r="G709" s="26"/>
      <c r="H709" s="5"/>
    </row>
    <row r="710" spans="3:23" ht="14.25" customHeight="1">
      <c r="C710" s="244"/>
      <c r="D710" s="26"/>
      <c r="E710" s="26"/>
      <c r="F710" s="26"/>
      <c r="G710" s="26"/>
      <c r="H710" s="5"/>
    </row>
    <row r="711" spans="3:23" ht="14.25" customHeight="1">
      <c r="C711" s="244"/>
      <c r="D711" s="26"/>
      <c r="E711" s="26"/>
      <c r="F711" s="26"/>
      <c r="G711" s="26"/>
      <c r="H711" s="5"/>
    </row>
    <row r="712" spans="3:23" ht="14.25" customHeight="1">
      <c r="C712" s="244"/>
      <c r="D712" s="26"/>
      <c r="E712" s="26"/>
      <c r="F712" s="26"/>
      <c r="G712" s="26"/>
      <c r="H712" s="5"/>
    </row>
    <row r="713" spans="3:23" ht="14.25" customHeight="1">
      <c r="C713" s="244"/>
      <c r="D713" s="26"/>
      <c r="E713" s="26"/>
      <c r="F713" s="26"/>
      <c r="G713" s="26"/>
      <c r="H713" s="5"/>
    </row>
    <row r="714" spans="3:23" ht="14.25" customHeight="1">
      <c r="C714" s="244"/>
      <c r="D714" s="26"/>
      <c r="E714" s="26"/>
      <c r="F714" s="26"/>
      <c r="G714" s="26"/>
      <c r="H714" s="5"/>
    </row>
    <row r="715" spans="3:23" ht="14.25" customHeight="1">
      <c r="C715" s="244"/>
      <c r="D715" s="26"/>
      <c r="E715" s="26"/>
      <c r="F715" s="26"/>
      <c r="G715" s="26"/>
      <c r="H715" s="5"/>
    </row>
    <row r="716" spans="3:23" ht="14.25" customHeight="1">
      <c r="C716" s="244"/>
      <c r="D716" s="26"/>
      <c r="E716" s="26"/>
      <c r="F716" s="26"/>
      <c r="G716" s="26"/>
      <c r="H716" s="5"/>
    </row>
    <row r="717" spans="3:23" ht="14.25" customHeight="1">
      <c r="C717" s="244"/>
      <c r="D717" s="26"/>
      <c r="E717" s="26"/>
      <c r="F717" s="26"/>
      <c r="G717" s="26"/>
      <c r="H717" s="5"/>
    </row>
    <row r="718" spans="3:23" ht="14.25" customHeight="1">
      <c r="C718" s="244"/>
      <c r="D718" s="26"/>
      <c r="E718" s="26"/>
      <c r="F718" s="26"/>
      <c r="G718" s="26"/>
      <c r="H718" s="5"/>
    </row>
    <row r="719" spans="3:23" ht="14.25" customHeight="1">
      <c r="C719" s="244"/>
      <c r="D719" s="26"/>
      <c r="E719" s="26"/>
      <c r="F719" s="26"/>
      <c r="G719" s="26"/>
      <c r="H719" s="5"/>
    </row>
    <row r="720" spans="3:23" ht="14.25" customHeight="1">
      <c r="C720" s="244"/>
      <c r="D720" s="26"/>
      <c r="E720" s="26"/>
      <c r="F720" s="26"/>
      <c r="G720" s="26"/>
      <c r="H720" s="5"/>
    </row>
    <row r="721" spans="3:8" ht="14.25" customHeight="1">
      <c r="C721" s="244"/>
      <c r="D721" s="26"/>
      <c r="E721" s="26"/>
      <c r="F721" s="26"/>
      <c r="G721" s="26"/>
      <c r="H721" s="5"/>
    </row>
    <row r="722" spans="3:8" ht="14.25" customHeight="1">
      <c r="C722" s="244"/>
      <c r="D722" s="26"/>
      <c r="E722" s="26"/>
      <c r="F722" s="26"/>
      <c r="G722" s="26"/>
      <c r="H722" s="5"/>
    </row>
    <row r="723" spans="3:8" ht="14.25" customHeight="1">
      <c r="C723" s="244"/>
      <c r="D723" s="26"/>
      <c r="E723" s="26"/>
      <c r="F723" s="26"/>
      <c r="G723" s="26"/>
      <c r="H723" s="5"/>
    </row>
    <row r="724" spans="3:8" ht="14.25" customHeight="1">
      <c r="C724" s="244"/>
      <c r="D724" s="26"/>
      <c r="E724" s="26"/>
      <c r="F724" s="26"/>
      <c r="G724" s="26"/>
      <c r="H724" s="5"/>
    </row>
    <row r="725" spans="3:8" ht="14.25" customHeight="1">
      <c r="C725" s="244"/>
      <c r="D725" s="26"/>
      <c r="E725" s="26"/>
      <c r="F725" s="26"/>
      <c r="G725" s="26"/>
      <c r="H725" s="5"/>
    </row>
    <row r="726" spans="3:8" ht="14.25" customHeight="1">
      <c r="C726" s="244"/>
      <c r="D726" s="26"/>
      <c r="E726" s="26"/>
      <c r="F726" s="26"/>
      <c r="G726" s="26"/>
      <c r="H726" s="5"/>
    </row>
    <row r="727" spans="3:8" ht="14.25" customHeight="1">
      <c r="C727" s="244"/>
      <c r="D727" s="26"/>
      <c r="E727" s="26"/>
      <c r="F727" s="26"/>
      <c r="G727" s="26"/>
      <c r="H727" s="5"/>
    </row>
    <row r="728" spans="3:8" ht="14.25" customHeight="1">
      <c r="C728" s="244"/>
      <c r="D728" s="26"/>
      <c r="E728" s="26"/>
      <c r="F728" s="26"/>
      <c r="G728" s="26"/>
      <c r="H728" s="5"/>
    </row>
    <row r="729" spans="3:8" ht="14.25" customHeight="1">
      <c r="C729" s="244"/>
      <c r="D729" s="26"/>
      <c r="E729" s="26"/>
      <c r="F729" s="26"/>
      <c r="G729" s="26"/>
      <c r="H729" s="5"/>
    </row>
    <row r="730" spans="3:8" ht="14.25" customHeight="1">
      <c r="C730" s="244"/>
      <c r="D730" s="26"/>
      <c r="E730" s="26"/>
      <c r="F730" s="26"/>
      <c r="G730" s="26"/>
      <c r="H730" s="5"/>
    </row>
    <row r="731" spans="3:8" ht="14.25" customHeight="1">
      <c r="C731" s="244"/>
      <c r="D731" s="26"/>
      <c r="E731" s="26"/>
      <c r="F731" s="26"/>
      <c r="G731" s="26"/>
      <c r="H731" s="5"/>
    </row>
    <row r="732" spans="3:8" ht="14.25" customHeight="1">
      <c r="C732" s="244"/>
      <c r="D732" s="26"/>
      <c r="E732" s="26"/>
      <c r="F732" s="26"/>
      <c r="G732" s="26"/>
      <c r="H732" s="5"/>
    </row>
    <row r="733" spans="3:8" ht="14.25" customHeight="1">
      <c r="C733" s="244"/>
      <c r="D733" s="26"/>
      <c r="E733" s="26"/>
      <c r="F733" s="26"/>
      <c r="G733" s="26"/>
      <c r="H733" s="5"/>
    </row>
    <row r="734" spans="3:8" ht="14.25" customHeight="1">
      <c r="C734" s="244"/>
      <c r="D734" s="26"/>
      <c r="E734" s="26"/>
      <c r="F734" s="26"/>
      <c r="G734" s="26"/>
      <c r="H734" s="5"/>
    </row>
    <row r="735" spans="3:8" ht="14.25" customHeight="1">
      <c r="C735" s="244"/>
      <c r="D735" s="26"/>
      <c r="E735" s="26"/>
      <c r="F735" s="26"/>
      <c r="G735" s="26"/>
      <c r="H735" s="5"/>
    </row>
    <row r="736" spans="3:8" ht="14.25" customHeight="1">
      <c r="C736" s="244"/>
      <c r="D736" s="26"/>
      <c r="E736" s="26"/>
      <c r="F736" s="26"/>
      <c r="G736" s="26"/>
      <c r="H736" s="5"/>
    </row>
    <row r="737" spans="3:8" ht="14.25" customHeight="1">
      <c r="C737" s="244"/>
      <c r="D737" s="26"/>
      <c r="E737" s="26"/>
      <c r="F737" s="26"/>
      <c r="G737" s="26"/>
      <c r="H737" s="5"/>
    </row>
    <row r="738" spans="3:8" ht="14.25" customHeight="1">
      <c r="C738" s="244"/>
      <c r="D738" s="26"/>
      <c r="E738" s="26"/>
      <c r="F738" s="26"/>
      <c r="G738" s="26"/>
      <c r="H738" s="5"/>
    </row>
    <row r="739" spans="3:8" ht="14.25" customHeight="1">
      <c r="C739" s="244"/>
      <c r="D739" s="26"/>
      <c r="E739" s="26"/>
      <c r="F739" s="26"/>
      <c r="G739" s="26"/>
      <c r="H739" s="5"/>
    </row>
    <row r="740" spans="3:8" ht="14.25" customHeight="1">
      <c r="C740" s="244"/>
      <c r="D740" s="26"/>
      <c r="E740" s="26"/>
      <c r="F740" s="26"/>
      <c r="G740" s="26"/>
      <c r="H740" s="5"/>
    </row>
    <row r="741" spans="3:8" ht="14.25" customHeight="1">
      <c r="C741" s="244"/>
      <c r="D741" s="26"/>
      <c r="E741" s="26"/>
      <c r="F741" s="26"/>
      <c r="G741" s="26"/>
      <c r="H741" s="5"/>
    </row>
    <row r="742" spans="3:8" ht="14.25" customHeight="1">
      <c r="C742" s="244"/>
      <c r="D742" s="26"/>
      <c r="E742" s="26"/>
      <c r="F742" s="26"/>
      <c r="G742" s="26"/>
      <c r="H742" s="5"/>
    </row>
    <row r="743" spans="3:8" ht="14.25" customHeight="1">
      <c r="C743" s="244"/>
      <c r="D743" s="26"/>
      <c r="E743" s="26"/>
      <c r="F743" s="26"/>
      <c r="G743" s="26"/>
      <c r="H743" s="5"/>
    </row>
    <row r="744" spans="3:8" ht="14.25" customHeight="1">
      <c r="C744" s="244"/>
      <c r="D744" s="26"/>
      <c r="E744" s="26"/>
      <c r="F744" s="26"/>
      <c r="G744" s="26"/>
      <c r="H744" s="5"/>
    </row>
    <row r="745" spans="3:8" ht="14.25" customHeight="1">
      <c r="C745" s="244"/>
      <c r="D745" s="26"/>
      <c r="E745" s="26"/>
      <c r="F745" s="26"/>
      <c r="G745" s="26"/>
      <c r="H745" s="5"/>
    </row>
    <row r="746" spans="3:8" ht="14.25" customHeight="1">
      <c r="C746" s="244"/>
      <c r="D746" s="26"/>
      <c r="E746" s="26"/>
      <c r="F746" s="26"/>
      <c r="G746" s="26"/>
      <c r="H746" s="5"/>
    </row>
    <row r="747" spans="3:8" ht="14.25" customHeight="1">
      <c r="C747" s="244"/>
      <c r="D747" s="26"/>
      <c r="E747" s="26"/>
      <c r="F747" s="26"/>
      <c r="G747" s="26"/>
      <c r="H747" s="5"/>
    </row>
    <row r="748" spans="3:8" ht="14.25" customHeight="1">
      <c r="C748" s="244"/>
      <c r="D748" s="26"/>
      <c r="E748" s="26"/>
      <c r="F748" s="26"/>
      <c r="G748" s="26"/>
      <c r="H748" s="5"/>
    </row>
    <row r="749" spans="3:8" ht="14.25" customHeight="1">
      <c r="C749" s="244"/>
      <c r="D749" s="26"/>
      <c r="E749" s="26"/>
      <c r="F749" s="26"/>
      <c r="G749" s="26"/>
      <c r="H749" s="5"/>
    </row>
    <row r="750" spans="3:8" ht="14.25" customHeight="1">
      <c r="C750" s="244"/>
      <c r="D750" s="26"/>
      <c r="E750" s="26"/>
      <c r="F750" s="26"/>
      <c r="G750" s="26"/>
      <c r="H750" s="5"/>
    </row>
    <row r="751" spans="3:8" ht="14.25" customHeight="1">
      <c r="C751" s="244"/>
      <c r="D751" s="26"/>
      <c r="E751" s="26"/>
      <c r="F751" s="26"/>
      <c r="G751" s="26"/>
      <c r="H751" s="5"/>
    </row>
    <row r="752" spans="3:8" ht="14.25" customHeight="1">
      <c r="C752" s="244"/>
      <c r="D752" s="26"/>
      <c r="E752" s="26"/>
      <c r="F752" s="26"/>
      <c r="G752" s="26"/>
      <c r="H752" s="5"/>
    </row>
    <row r="753" spans="1:46" ht="14.25" customHeight="1">
      <c r="C753" s="244"/>
      <c r="D753" s="26"/>
      <c r="E753" s="26"/>
      <c r="F753" s="26"/>
      <c r="G753" s="26"/>
      <c r="H753" s="5"/>
    </row>
    <row r="754" spans="1:46" ht="14.25" customHeight="1">
      <c r="C754" s="244"/>
      <c r="D754" s="26"/>
      <c r="E754" s="26"/>
      <c r="F754" s="26"/>
      <c r="G754" s="26"/>
      <c r="H754" s="5"/>
    </row>
    <row r="755" spans="1:46" s="8" customFormat="1">
      <c r="B755" s="550" t="str">
        <f>TITLE!C19</f>
        <v>Полотна збірні: ЛАДА B</v>
      </c>
      <c r="C755" s="550"/>
      <c r="D755" s="117"/>
      <c r="E755" s="117"/>
      <c r="F755" s="117"/>
      <c r="G755" s="117"/>
      <c r="H755" s="552"/>
      <c r="I755" s="552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544" t="str">
        <f>IF($C$1="ENG",CONCATENATE("up to: ",B682),CONCATENATE("вгору до: ",B682))</f>
        <v>вгору до: Полотна збірні: ЛАДА A</v>
      </c>
      <c r="U755" s="544"/>
      <c r="V755" s="544"/>
      <c r="W755" s="544"/>
      <c r="AN755" s="279"/>
      <c r="AO755" s="279"/>
      <c r="AP755" s="279"/>
      <c r="AQ755" s="279"/>
      <c r="AR755" s="279"/>
      <c r="AS755" s="279"/>
      <c r="AT755" s="279"/>
    </row>
    <row r="756" spans="1:46" s="8" customFormat="1" ht="5.0999999999999996" customHeight="1">
      <c r="B756" s="116"/>
      <c r="C756" s="418"/>
      <c r="D756" s="9"/>
      <c r="E756" s="9"/>
      <c r="F756" s="9"/>
      <c r="G756" s="9"/>
      <c r="H756" s="119"/>
      <c r="I756" s="119"/>
      <c r="T756" s="114"/>
      <c r="U756" s="114"/>
      <c r="V756" s="114"/>
      <c r="W756" s="114"/>
      <c r="AN756" s="279"/>
      <c r="AO756" s="279"/>
      <c r="AP756" s="279"/>
      <c r="AQ756" s="279"/>
      <c r="AR756" s="279"/>
      <c r="AS756" s="279"/>
      <c r="AT756" s="279"/>
    </row>
    <row r="757" spans="1:46" s="8" customFormat="1" ht="12.75" customHeight="1">
      <c r="B757" s="556" t="str">
        <f>IF($C$1="ENG","model","модель")</f>
        <v>модель</v>
      </c>
      <c r="C757" s="121" t="str">
        <f>IF($C$1="ENG","cover:","покриття:")</f>
        <v>покриття:</v>
      </c>
      <c r="D757" s="538" t="str">
        <f>IF($C$1="ENG","Verto-CELL","Verto-CELL")</f>
        <v>Verto-CELL</v>
      </c>
      <c r="E757" s="539"/>
      <c r="F757" s="538" t="str">
        <f>IF($C$1="ENG","UNI-MAT","UNI-MAT")</f>
        <v>UNI-MAT</v>
      </c>
      <c r="G757" s="539"/>
      <c r="H757" s="538" t="str">
        <f>IF($C$1="ENG","RESIST","RESIST")</f>
        <v>RESIST</v>
      </c>
      <c r="I757" s="539"/>
      <c r="J757" s="538" t="str">
        <f>IF($C$1="ENG","Verto LINE-3D","Verto LINE-3D")</f>
        <v>Verto LINE-3D</v>
      </c>
      <c r="K757" s="539"/>
      <c r="L757" s="538" t="str">
        <f>IF($C$1="ENG","ECO Shpon","ЕКО Шпон")</f>
        <v>ЕКО Шпон</v>
      </c>
      <c r="M757" s="539"/>
      <c r="P757" s="1"/>
      <c r="Q757" s="1"/>
      <c r="T757" s="114"/>
      <c r="U757" s="114"/>
      <c r="V757" s="114"/>
      <c r="W757" s="114"/>
      <c r="AN757" s="279"/>
      <c r="AO757" s="279"/>
      <c r="AP757" s="279"/>
      <c r="AQ757" s="279"/>
      <c r="AR757" s="279"/>
      <c r="AS757" s="279"/>
      <c r="AT757" s="279"/>
    </row>
    <row r="758" spans="1:46" s="8" customFormat="1" ht="24.75" customHeight="1">
      <c r="B758" s="557"/>
      <c r="C758" s="122" t="str">
        <f>IF($C$1="ENG","filling:","заповнення:")</f>
        <v>заповнення:</v>
      </c>
      <c r="D758" s="540" t="str">
        <f>IF($C$1="ENG","softwood","клеєний сосновий брус")</f>
        <v>клеєний сосновий брус</v>
      </c>
      <c r="E758" s="541"/>
      <c r="F758" s="540" t="str">
        <f>IF($C$1="ENG","softwood","клеєний сосновий брус")</f>
        <v>клеєний сосновий брус</v>
      </c>
      <c r="G758" s="541"/>
      <c r="H758" s="540" t="str">
        <f>IF($C$1="ENG","softwood","клеєний сосновий брус")</f>
        <v>клеєний сосновий брус</v>
      </c>
      <c r="I758" s="541"/>
      <c r="J758" s="540" t="str">
        <f>IF($C$1="ENG","softwood","клеєний сосновий брус")</f>
        <v>клеєний сосновий брус</v>
      </c>
      <c r="K758" s="541"/>
      <c r="L758" s="540" t="str">
        <f>IF($C$1="ENG","softwood","клеєний сосновий брус")</f>
        <v>клеєний сосновий брус</v>
      </c>
      <c r="M758" s="541"/>
      <c r="P758" s="1"/>
      <c r="Q758" s="1"/>
      <c r="T758" s="114"/>
      <c r="U758" s="114"/>
      <c r="V758" s="114"/>
      <c r="W758" s="114"/>
      <c r="AD758" s="381">
        <f>AD760/AC760-1</f>
        <v>0.1396468699839486</v>
      </c>
      <c r="AE758" s="381">
        <f>AE760/AD760-1</f>
        <v>4.2253521126760507E-2</v>
      </c>
      <c r="AF758" s="381">
        <f>AF760/AE760-1</f>
        <v>8.783783783783794E-2</v>
      </c>
      <c r="AG758" s="381">
        <f>AG760/AF760-1</f>
        <v>5.2173913043478182E-2</v>
      </c>
      <c r="AN758" s="279"/>
      <c r="AO758" s="279"/>
      <c r="AP758" s="279"/>
      <c r="AQ758" s="279"/>
      <c r="AR758" s="279"/>
      <c r="AS758" s="279"/>
      <c r="AT758" s="279"/>
    </row>
    <row r="759" spans="1:46" ht="12.75" customHeight="1">
      <c r="A759" s="8"/>
      <c r="B759" s="558"/>
      <c r="C759" s="123" t="str">
        <f>IF($C$1="ENG","glazing:","скління:")</f>
        <v>скління:</v>
      </c>
      <c r="D759" s="542" t="str">
        <f>IF($C$1="ENG","Satin","Сатин")</f>
        <v>Сатин</v>
      </c>
      <c r="E759" s="543"/>
      <c r="F759" s="542" t="str">
        <f>IF($C$1="ENG","Satin","Сатин")</f>
        <v>Сатин</v>
      </c>
      <c r="G759" s="543"/>
      <c r="H759" s="542" t="str">
        <f>IF($C$1="ENG","Satin","Сатин")</f>
        <v>Сатин</v>
      </c>
      <c r="I759" s="543"/>
      <c r="J759" s="542" t="str">
        <f>IF($C$1="ENG","Satin","Сатин")</f>
        <v>Сатин</v>
      </c>
      <c r="K759" s="543"/>
      <c r="L759" s="542" t="str">
        <f>IF($C$1="ENG","Satin","Сатин")</f>
        <v>Сатин</v>
      </c>
      <c r="M759" s="543"/>
    </row>
    <row r="760" spans="1:46" ht="35.1" customHeight="1">
      <c r="A760" s="8"/>
      <c r="B760" s="13" t="s">
        <v>31</v>
      </c>
      <c r="C760" s="14"/>
      <c r="D760" s="15">
        <f>IF(AC760="","",(1-$W$2)*(AC760/1.2))</f>
        <v>5191.666666666667</v>
      </c>
      <c r="E760" s="64">
        <f>IF($W$5=0.2,D760*1.2,D760)/$W$4</f>
        <v>6230</v>
      </c>
      <c r="F760" s="15">
        <f>IF(AD760="","",(1-$W$2)*(AD760/1.2))</f>
        <v>5916.666666666667</v>
      </c>
      <c r="G760" s="64">
        <f>IF($W$5=0.2,F760*1.2,F760)/$W$4</f>
        <v>7100</v>
      </c>
      <c r="H760" s="15">
        <f>IF(AE760="","",(1-$W$2)*(AE760/1.2))</f>
        <v>6166.666666666667</v>
      </c>
      <c r="I760" s="64">
        <f>IF($W$5=0.2,H760*1.2,H760)/$W$4</f>
        <v>7400</v>
      </c>
      <c r="J760" s="15">
        <f>IF(AF760="","",(1-$W$2)*(AF760/1.2))</f>
        <v>6708.3333333333339</v>
      </c>
      <c r="K760" s="64">
        <f>IF($W$5=0.2,J760*1.2,J760)/$W$4</f>
        <v>8050</v>
      </c>
      <c r="L760" s="15">
        <f>IF(AG760="","",(1-$W$2)*(AG760/1.2))</f>
        <v>7058.3333333333339</v>
      </c>
      <c r="M760" s="64">
        <f>IF($W$5=0.2,L760*1.2,L760)/$W$4</f>
        <v>8470</v>
      </c>
      <c r="N760" s="103"/>
      <c r="R760" s="103"/>
      <c r="T760" s="103"/>
      <c r="U760" s="20"/>
      <c r="V760" s="103"/>
      <c r="W760" s="20"/>
      <c r="X760" s="103"/>
      <c r="Y760" s="103"/>
      <c r="Z760" s="103"/>
      <c r="AA760" s="103"/>
      <c r="AB760" s="103"/>
      <c r="AC760" s="331">
        <v>6230</v>
      </c>
      <c r="AD760" s="389">
        <v>7100</v>
      </c>
      <c r="AE760" s="331">
        <v>7400</v>
      </c>
      <c r="AF760" s="331">
        <v>8050</v>
      </c>
      <c r="AG760" s="331">
        <v>8470</v>
      </c>
      <c r="AH760" s="288">
        <v>6230</v>
      </c>
      <c r="AI760" s="288">
        <f>AH760/AC760-1</f>
        <v>0</v>
      </c>
      <c r="AJ760" s="288">
        <v>7100</v>
      </c>
      <c r="AK760" s="288">
        <f>AJ760/AD760-1</f>
        <v>0</v>
      </c>
      <c r="AL760" s="288">
        <v>7400</v>
      </c>
      <c r="AM760" s="1">
        <f>AL760/AE760-1</f>
        <v>0</v>
      </c>
      <c r="AN760" s="30">
        <v>8050</v>
      </c>
      <c r="AO760" s="1">
        <f>AN760/AF760-1</f>
        <v>0</v>
      </c>
      <c r="AP760" s="1">
        <v>8470</v>
      </c>
      <c r="AQ760" s="1">
        <f>AP760/AG760-1</f>
        <v>0</v>
      </c>
    </row>
    <row r="761" spans="1:46" ht="35.1" customHeight="1">
      <c r="A761" s="8"/>
      <c r="B761" s="16" t="s">
        <v>25</v>
      </c>
      <c r="C761" s="17"/>
      <c r="D761" s="18">
        <f>IF(AC761="","",(1-$W$2)*(AC761/1.2))</f>
        <v>5191.666666666667</v>
      </c>
      <c r="E761" s="66">
        <f>IF($W$5=0.2,D761*1.2,D761)/$W$4</f>
        <v>6230</v>
      </c>
      <c r="F761" s="18">
        <f>IF(AD761="","",(1-$W$2)*(AD761/1.2))</f>
        <v>5916.666666666667</v>
      </c>
      <c r="G761" s="66">
        <f>IF($W$5=0.2,F761*1.2,F761)/$W$4</f>
        <v>7100</v>
      </c>
      <c r="H761" s="18">
        <f>IF(AE761="","",(1-$W$2)*(AE761/1.2))</f>
        <v>6166.666666666667</v>
      </c>
      <c r="I761" s="66">
        <f>IF($W$5=0.2,H761*1.2,H761)/$W$4</f>
        <v>7400</v>
      </c>
      <c r="J761" s="18">
        <f>IF(AF761="","",(1-$W$2)*(AF761/1.2))</f>
        <v>6708.3333333333339</v>
      </c>
      <c r="K761" s="66">
        <f>IF($W$5=0.2,J761*1.2,J761)/$W$4</f>
        <v>8050</v>
      </c>
      <c r="L761" s="18">
        <f>IF(AG761="","",(1-$W$2)*(AG761/1.2))</f>
        <v>7058.3333333333339</v>
      </c>
      <c r="M761" s="66">
        <f>IF($W$5=0.2,L761*1.2,L761)/$W$4</f>
        <v>8470</v>
      </c>
      <c r="N761" s="103"/>
      <c r="R761" s="103"/>
      <c r="T761" s="103"/>
      <c r="U761" s="20"/>
      <c r="V761" s="103"/>
      <c r="W761" s="20"/>
      <c r="X761" s="103"/>
      <c r="Y761" s="103"/>
      <c r="Z761" s="103"/>
      <c r="AA761" s="103"/>
      <c r="AB761" s="103"/>
      <c r="AC761" s="331">
        <v>6230</v>
      </c>
      <c r="AD761" s="389">
        <v>7100</v>
      </c>
      <c r="AE761" s="331">
        <v>7400</v>
      </c>
      <c r="AF761" s="331">
        <v>8050</v>
      </c>
      <c r="AG761" s="331">
        <v>8470</v>
      </c>
      <c r="AH761" s="288">
        <v>6230</v>
      </c>
      <c r="AI761" s="288">
        <f t="shared" ref="AI761:AI762" si="115">AH761/AC761-1</f>
        <v>0</v>
      </c>
      <c r="AJ761" s="288">
        <v>7100</v>
      </c>
      <c r="AK761" s="288">
        <f t="shared" ref="AK761:AK762" si="116">AJ761/AD761-1</f>
        <v>0</v>
      </c>
      <c r="AL761" s="288">
        <v>7400</v>
      </c>
      <c r="AM761" s="1">
        <f t="shared" ref="AM761:AM762" si="117">AL761/AE761-1</f>
        <v>0</v>
      </c>
      <c r="AN761" s="30">
        <v>8050</v>
      </c>
      <c r="AO761" s="1">
        <f t="shared" ref="AO761:AO762" si="118">AN761/AF761-1</f>
        <v>0</v>
      </c>
      <c r="AP761" s="1">
        <v>8470</v>
      </c>
      <c r="AQ761" s="1">
        <f t="shared" ref="AQ761:AQ762" si="119">AP761/AG761-1</f>
        <v>0</v>
      </c>
    </row>
    <row r="762" spans="1:46" ht="35.1" customHeight="1">
      <c r="A762" s="8"/>
      <c r="B762" s="23" t="s">
        <v>32</v>
      </c>
      <c r="C762" s="24"/>
      <c r="D762" s="25">
        <f>IF(AC762="","",(1-$W$2)*(AC762/1.2))</f>
        <v>5416.666666666667</v>
      </c>
      <c r="E762" s="69">
        <f>IF($W$5=0.2,D762*1.2,D762)/$W$4</f>
        <v>6500</v>
      </c>
      <c r="F762" s="25">
        <f>IF(AD762="","",(1-$W$2)*(AD762/1.2))</f>
        <v>6166.666666666667</v>
      </c>
      <c r="G762" s="69">
        <f>IF($W$5=0.2,F762*1.2,F762)/$W$4</f>
        <v>7400</v>
      </c>
      <c r="H762" s="25">
        <f>IF(AE762="","",(1-$W$2)*(AE762/1.2))</f>
        <v>6441.666666666667</v>
      </c>
      <c r="I762" s="69">
        <f>IF($W$5=0.2,H762*1.2,H762)/$W$4</f>
        <v>7730</v>
      </c>
      <c r="J762" s="25">
        <f>IF(AF762="","",(1-$W$2)*(AF762/1.2))</f>
        <v>6950</v>
      </c>
      <c r="K762" s="69">
        <f>IF($W$5=0.2,J762*1.2,J762)/$W$4</f>
        <v>8340</v>
      </c>
      <c r="L762" s="25">
        <f>IF(AG762="","",(1-$W$2)*(AG762/1.2))</f>
        <v>7375</v>
      </c>
      <c r="M762" s="69">
        <f>IF($W$5=0.2,L762*1.2,L762)/$W$4</f>
        <v>8850</v>
      </c>
      <c r="N762" s="103"/>
      <c r="R762" s="103"/>
      <c r="T762" s="103"/>
      <c r="V762" s="103"/>
      <c r="X762" s="103"/>
      <c r="Y762" s="103"/>
      <c r="Z762" s="103"/>
      <c r="AA762" s="103"/>
      <c r="AB762" s="103"/>
      <c r="AC762" s="331">
        <v>6500</v>
      </c>
      <c r="AD762" s="389">
        <v>7400</v>
      </c>
      <c r="AE762" s="331">
        <v>7730</v>
      </c>
      <c r="AF762" s="331">
        <v>8340</v>
      </c>
      <c r="AG762" s="331">
        <v>8850</v>
      </c>
      <c r="AH762" s="288">
        <v>6500</v>
      </c>
      <c r="AI762" s="288">
        <f t="shared" si="115"/>
        <v>0</v>
      </c>
      <c r="AJ762" s="288">
        <v>7400</v>
      </c>
      <c r="AK762" s="288">
        <f t="shared" si="116"/>
        <v>0</v>
      </c>
      <c r="AL762" s="288">
        <v>7730</v>
      </c>
      <c r="AM762" s="1">
        <f t="shared" si="117"/>
        <v>0</v>
      </c>
      <c r="AN762" s="30">
        <v>8340</v>
      </c>
      <c r="AO762" s="1">
        <f t="shared" si="118"/>
        <v>0</v>
      </c>
      <c r="AP762" s="1">
        <v>8850</v>
      </c>
      <c r="AQ762" s="1">
        <f t="shared" si="119"/>
        <v>0</v>
      </c>
    </row>
    <row r="763" spans="1:46">
      <c r="C763" s="244"/>
      <c r="D763" s="26"/>
      <c r="E763" s="57"/>
      <c r="F763" s="26"/>
      <c r="G763" s="57"/>
      <c r="H763" s="10"/>
      <c r="I763" s="8"/>
      <c r="J763" s="8"/>
      <c r="K763" s="8"/>
    </row>
    <row r="764" spans="1:46">
      <c r="B764" s="211" t="str">
        <f>IF($C$1="ENG","For additonal charge:","Послуги за додаткову плату:")</f>
        <v>Послуги за додаткову плату:</v>
      </c>
      <c r="C764" s="419"/>
      <c r="D764" s="212"/>
      <c r="E764" s="213"/>
      <c r="F764" s="26"/>
      <c r="G764" s="57"/>
      <c r="H764" s="10"/>
      <c r="I764" s="8"/>
      <c r="J764" s="8"/>
      <c r="K764" s="8"/>
    </row>
    <row r="765" spans="1:46" ht="5.0999999999999996" customHeight="1">
      <c r="B765" s="27"/>
      <c r="C765" s="244"/>
      <c r="D765" s="26"/>
      <c r="E765" s="57"/>
      <c r="F765" s="26"/>
      <c r="G765" s="57"/>
      <c r="H765" s="10"/>
      <c r="I765" s="8"/>
      <c r="J765" s="8"/>
      <c r="K765" s="8"/>
    </row>
    <row r="766" spans="1:46">
      <c r="B766" s="561" t="str">
        <f>IF($C$1="ENG","door leaf with width 100","полотно розміром 100")</f>
        <v>полотно розміром 100</v>
      </c>
      <c r="C766" s="562"/>
      <c r="D766" s="408">
        <f t="shared" ref="D766:D778" si="120">IF(AC766="","",(1-$W$2)*(AC766/1.2))</f>
        <v>600</v>
      </c>
      <c r="E766" s="91">
        <f t="shared" ref="E766:E777" si="121">IF($W$5=0.2,D766*1.2,D766)/$W$4</f>
        <v>720</v>
      </c>
      <c r="F766" s="26"/>
      <c r="G766" s="26"/>
      <c r="H766" s="10"/>
      <c r="I766" s="8"/>
      <c r="J766" s="8"/>
      <c r="K766" s="8"/>
      <c r="AC766" s="297">
        <v>720</v>
      </c>
      <c r="AD766" s="297">
        <v>720</v>
      </c>
      <c r="AE766" s="288">
        <f>AD766/AC766-1</f>
        <v>0</v>
      </c>
      <c r="AF766" s="288"/>
      <c r="AG766" s="288"/>
      <c r="AH766" s="288"/>
      <c r="AI766" s="288"/>
      <c r="AJ766" s="288"/>
      <c r="AK766" s="288"/>
      <c r="AL766" s="288"/>
    </row>
    <row r="767" spans="1:46">
      <c r="B767" s="561" t="str">
        <f>IF($C$1="ENG","Ventilation cut","вентиляційний підріз")</f>
        <v>вентиляційний підріз</v>
      </c>
      <c r="C767" s="562"/>
      <c r="D767" s="403">
        <f t="shared" si="120"/>
        <v>141.66666666666669</v>
      </c>
      <c r="E767" s="66">
        <f t="shared" si="121"/>
        <v>170.00000000000003</v>
      </c>
      <c r="F767" s="26"/>
      <c r="G767" s="26"/>
      <c r="I767" s="59"/>
      <c r="J767" s="28"/>
      <c r="AC767" s="297">
        <v>170</v>
      </c>
      <c r="AD767" s="297">
        <v>170</v>
      </c>
      <c r="AE767" s="288">
        <f t="shared" ref="AE767:AE777" si="122">AD767/AC767-1</f>
        <v>0</v>
      </c>
      <c r="AF767" s="288"/>
      <c r="AG767" s="288"/>
      <c r="AH767" s="288"/>
      <c r="AI767" s="288"/>
      <c r="AJ767" s="288"/>
      <c r="AK767" s="288"/>
      <c r="AL767" s="288"/>
    </row>
    <row r="768" spans="1:46">
      <c r="B768" s="554" t="str">
        <f>IF($C$1="ENG","glazing Graphite / Bronze","скло Графіт / Бронза")</f>
        <v>скло Графіт / Бронза</v>
      </c>
      <c r="C768" s="555"/>
      <c r="D768" s="405">
        <f t="shared" si="120"/>
        <v>458.33333333333337</v>
      </c>
      <c r="E768" s="92">
        <f>IF($W$5=0.2,D768*1.2,D768)/$W$4</f>
        <v>550</v>
      </c>
      <c r="F768" s="26"/>
      <c r="G768" s="26"/>
      <c r="H768" s="5"/>
      <c r="AC768" s="297">
        <v>550</v>
      </c>
      <c r="AD768" s="297">
        <v>550</v>
      </c>
      <c r="AE768" s="288">
        <f t="shared" si="122"/>
        <v>0</v>
      </c>
      <c r="AF768" s="288"/>
      <c r="AG768" s="288"/>
      <c r="AH768" s="288"/>
      <c r="AI768" s="288"/>
      <c r="AJ768" s="288"/>
      <c r="AK768" s="288"/>
      <c r="AL768" s="288"/>
    </row>
    <row r="769" spans="2:38">
      <c r="B769" s="554" t="str">
        <f>IF($C$1="ENG","glazing Lacobel black ","скло Lacobel чорне")</f>
        <v>скло Lacobel чорне</v>
      </c>
      <c r="C769" s="555"/>
      <c r="D769" s="405">
        <f t="shared" si="120"/>
        <v>458.33333333333337</v>
      </c>
      <c r="E769" s="92">
        <f>IF($W$5=0.2,D769*1.2,D769)/$W$4</f>
        <v>550</v>
      </c>
      <c r="F769" s="26"/>
      <c r="G769" s="26"/>
      <c r="H769" s="5"/>
      <c r="AC769" s="297">
        <v>550</v>
      </c>
      <c r="AD769" s="297">
        <v>550</v>
      </c>
      <c r="AE769" s="288"/>
      <c r="AF769" s="288"/>
      <c r="AG769" s="288"/>
      <c r="AH769" s="288"/>
      <c r="AI769" s="288"/>
      <c r="AJ769" s="288"/>
      <c r="AK769" s="288"/>
      <c r="AL769" s="288"/>
    </row>
    <row r="770" spans="2:38">
      <c r="B770" s="554" t="str">
        <f>IF($C$1="ENG","door lock Soft","замок Soft")</f>
        <v>замок Soft</v>
      </c>
      <c r="C770" s="555"/>
      <c r="D770" s="405">
        <f t="shared" si="120"/>
        <v>458.33333333333337</v>
      </c>
      <c r="E770" s="92">
        <f t="shared" si="121"/>
        <v>550</v>
      </c>
      <c r="F770" s="26"/>
      <c r="G770" s="26"/>
      <c r="H770" s="5"/>
      <c r="AC770" s="297">
        <v>550</v>
      </c>
      <c r="AD770" s="297">
        <v>550</v>
      </c>
      <c r="AE770" s="288">
        <f t="shared" si="122"/>
        <v>0</v>
      </c>
      <c r="AF770" s="288"/>
      <c r="AG770" s="288"/>
      <c r="AH770" s="288"/>
      <c r="AI770" s="288"/>
      <c r="AJ770" s="288"/>
      <c r="AK770" s="288"/>
      <c r="AL770" s="288"/>
    </row>
    <row r="771" spans="2:38">
      <c r="B771" s="554" t="str">
        <f>IF($C$1="ENG","door lock Soft black","замок Soft чорн.")</f>
        <v>замок Soft чорн.</v>
      </c>
      <c r="C771" s="555"/>
      <c r="D771" s="405">
        <f t="shared" ref="D771" si="123">IF(AC771="","",(1-$W$2)*(AC771/1.2))</f>
        <v>566.66666666666674</v>
      </c>
      <c r="E771" s="92">
        <f t="shared" ref="E771" si="124">IF($W$5=0.2,D771*1.2,D771)/$W$4</f>
        <v>680.00000000000011</v>
      </c>
      <c r="F771" s="26"/>
      <c r="G771" s="26"/>
      <c r="H771" s="5"/>
      <c r="AC771" s="297">
        <v>680</v>
      </c>
      <c r="AD771" s="297"/>
      <c r="AE771" s="288"/>
      <c r="AF771" s="288"/>
      <c r="AG771" s="288"/>
      <c r="AH771" s="288"/>
      <c r="AI771" s="288"/>
      <c r="AJ771" s="288"/>
      <c r="AK771" s="288"/>
      <c r="AL771" s="288"/>
    </row>
    <row r="772" spans="2:38">
      <c r="B772" s="554" t="str">
        <f>IF($C$1="ENG","door lock Magnet","замок Magnet")</f>
        <v>замок Magnet</v>
      </c>
      <c r="C772" s="555"/>
      <c r="D772" s="405">
        <f t="shared" si="120"/>
        <v>666.66666666666674</v>
      </c>
      <c r="E772" s="92">
        <f t="shared" si="121"/>
        <v>800.00000000000011</v>
      </c>
      <c r="F772" s="26"/>
      <c r="G772" s="26"/>
      <c r="H772" s="5"/>
      <c r="AC772" s="297">
        <v>800</v>
      </c>
      <c r="AD772" s="297">
        <v>800</v>
      </c>
      <c r="AE772" s="288">
        <f t="shared" si="122"/>
        <v>0</v>
      </c>
      <c r="AF772" s="288"/>
      <c r="AG772" s="288"/>
      <c r="AH772" s="288"/>
      <c r="AI772" s="288"/>
      <c r="AJ772" s="288"/>
      <c r="AK772" s="288"/>
      <c r="AL772" s="288"/>
    </row>
    <row r="773" spans="2:38">
      <c r="B773" s="554" t="s">
        <v>66</v>
      </c>
      <c r="C773" s="555"/>
      <c r="D773" s="405">
        <f t="shared" ref="D773" si="125">IF(AC773="","",(1-$W$2)*(AC773/1.2))</f>
        <v>833.33333333333337</v>
      </c>
      <c r="E773" s="92">
        <f t="shared" ref="E773" si="126">IF($W$5=0.2,D773*1.2,D773)/$W$4</f>
        <v>1000</v>
      </c>
      <c r="F773" s="26"/>
      <c r="G773" s="26"/>
      <c r="H773" s="5"/>
      <c r="AC773" s="297">
        <v>1000</v>
      </c>
      <c r="AD773" s="297"/>
      <c r="AE773" s="288"/>
      <c r="AF773" s="288"/>
      <c r="AG773" s="288"/>
      <c r="AH773" s="288"/>
      <c r="AI773" s="288"/>
      <c r="AJ773" s="288"/>
      <c r="AK773" s="288"/>
      <c r="AL773" s="288"/>
    </row>
    <row r="774" spans="2:38">
      <c r="B774" s="554" t="str">
        <f>IF($C$1="ENG","door handle-lock (for sliding doors)","ручка-замок (для дверей купе)")</f>
        <v>ручка-замок (для дверей купе)</v>
      </c>
      <c r="C774" s="555"/>
      <c r="D774" s="403">
        <f t="shared" si="120"/>
        <v>466.66666666666669</v>
      </c>
      <c r="E774" s="92">
        <f t="shared" si="121"/>
        <v>560</v>
      </c>
      <c r="F774" s="26"/>
      <c r="G774" s="26"/>
      <c r="I774" s="11"/>
      <c r="J774" s="11"/>
      <c r="K774" s="19"/>
      <c r="AC774" s="297">
        <v>560</v>
      </c>
      <c r="AD774" s="297">
        <v>560</v>
      </c>
      <c r="AE774" s="288">
        <f t="shared" si="122"/>
        <v>0</v>
      </c>
      <c r="AF774" s="288"/>
      <c r="AG774" s="288"/>
      <c r="AH774" s="288"/>
      <c r="AI774" s="288"/>
      <c r="AJ774" s="288"/>
      <c r="AK774" s="288"/>
      <c r="AL774" s="288"/>
    </row>
    <row r="775" spans="2:38">
      <c r="B775" s="554" t="str">
        <f>IF($C$1="ENG","cylinder incert","циліндр несиметричний")</f>
        <v>циліндр несиметричний</v>
      </c>
      <c r="C775" s="555"/>
      <c r="D775" s="403">
        <f t="shared" si="120"/>
        <v>325</v>
      </c>
      <c r="E775" s="92">
        <f t="shared" si="121"/>
        <v>390</v>
      </c>
      <c r="F775" s="26"/>
      <c r="G775" s="26"/>
      <c r="AC775" s="297">
        <v>390</v>
      </c>
      <c r="AD775" s="297">
        <v>390</v>
      </c>
      <c r="AE775" s="288">
        <f t="shared" si="122"/>
        <v>0</v>
      </c>
      <c r="AF775" s="288"/>
      <c r="AG775" s="288"/>
      <c r="AH775" s="288"/>
      <c r="AI775" s="288"/>
      <c r="AJ775" s="288"/>
      <c r="AK775" s="288"/>
      <c r="AL775" s="288"/>
    </row>
    <row r="776" spans="2:38">
      <c r="B776" s="554" t="str">
        <f>IF($C$1="ENG","door hindge Prestige (1 unit)","завіса Prestige (1 шт)")</f>
        <v>завіса Prestige (1 шт)</v>
      </c>
      <c r="C776" s="555"/>
      <c r="D776" s="406">
        <f t="shared" si="120"/>
        <v>216.66666666666669</v>
      </c>
      <c r="E776" s="92">
        <f t="shared" si="121"/>
        <v>260</v>
      </c>
      <c r="F776" s="26"/>
      <c r="G776" s="26"/>
      <c r="AC776" s="297">
        <v>260</v>
      </c>
      <c r="AD776" s="297">
        <v>260</v>
      </c>
      <c r="AE776" s="288">
        <f t="shared" si="122"/>
        <v>0</v>
      </c>
      <c r="AF776" s="288"/>
      <c r="AG776" s="288"/>
      <c r="AH776" s="288"/>
      <c r="AI776" s="288"/>
      <c r="AJ776" s="288"/>
      <c r="AK776" s="288"/>
      <c r="AL776" s="288"/>
    </row>
    <row r="777" spans="2:38">
      <c r="B777" s="554" t="str">
        <f>IF($C$1="ENG","door hinge caps (1 set)","накладка на завіси (1 к-т)")</f>
        <v>накладка на завіси (1 к-т)</v>
      </c>
      <c r="C777" s="555"/>
      <c r="D777" s="406">
        <f t="shared" si="120"/>
        <v>66.666666666666671</v>
      </c>
      <c r="E777" s="92">
        <f t="shared" si="121"/>
        <v>80</v>
      </c>
      <c r="F777" s="26"/>
      <c r="G777" s="26"/>
      <c r="AC777" s="297">
        <v>80</v>
      </c>
      <c r="AD777" s="297">
        <v>80</v>
      </c>
      <c r="AE777" s="288">
        <f t="shared" si="122"/>
        <v>0</v>
      </c>
      <c r="AF777" s="288"/>
      <c r="AG777" s="288"/>
      <c r="AH777" s="288"/>
      <c r="AI777" s="288"/>
      <c r="AJ777" s="288"/>
      <c r="AK777" s="288"/>
      <c r="AL777" s="288"/>
    </row>
    <row r="778" spans="2:38">
      <c r="B778" s="554" t="str">
        <f>IF($C$1="ENG","door handle","дверна ручка")</f>
        <v>дверна ручка</v>
      </c>
      <c r="C778" s="555"/>
      <c r="D778" s="407" t="str">
        <f t="shared" si="120"/>
        <v/>
      </c>
      <c r="E778" s="246" t="str">
        <f>IF($C$1="ENG","see Handles Price","див. Таблицю Ручки")</f>
        <v>див. Таблицю Ручки</v>
      </c>
      <c r="F778" s="26"/>
      <c r="G778" s="26"/>
      <c r="AC778" s="288"/>
      <c r="AD778" s="288"/>
      <c r="AE778" s="288"/>
      <c r="AF778" s="288"/>
      <c r="AG778" s="288"/>
      <c r="AH778" s="288"/>
      <c r="AI778" s="288"/>
      <c r="AJ778" s="288"/>
      <c r="AK778" s="288"/>
      <c r="AL778" s="288"/>
    </row>
    <row r="779" spans="2:38" ht="14.25" customHeight="1">
      <c r="C779" s="244"/>
      <c r="D779" s="26"/>
      <c r="E779" s="26"/>
      <c r="F779" s="26"/>
      <c r="G779" s="26"/>
      <c r="H779" s="5"/>
      <c r="T779" s="536" t="str">
        <f>IF($C$1="ENG",CONCATENATE("down to: ",B829),CONCATENATE("вниз до: ",B829))</f>
        <v>вниз до: Полотна збірні: ЛАДА C</v>
      </c>
      <c r="U779" s="536"/>
      <c r="V779" s="536"/>
      <c r="W779" s="536"/>
    </row>
    <row r="780" spans="2:38" ht="14.25" customHeight="1">
      <c r="C780" s="244"/>
      <c r="D780" s="26"/>
      <c r="E780" s="26"/>
      <c r="F780" s="26"/>
      <c r="G780" s="26"/>
      <c r="H780" s="5"/>
    </row>
    <row r="781" spans="2:38" ht="14.25" customHeight="1">
      <c r="C781" s="244"/>
      <c r="D781" s="26"/>
      <c r="E781" s="26"/>
      <c r="F781" s="26"/>
      <c r="G781" s="26"/>
      <c r="H781" s="5"/>
    </row>
    <row r="782" spans="2:38" ht="14.25" customHeight="1">
      <c r="C782" s="244"/>
      <c r="D782" s="26"/>
      <c r="E782" s="26"/>
      <c r="F782" s="26"/>
      <c r="G782" s="26"/>
      <c r="H782" s="5"/>
    </row>
    <row r="783" spans="2:38" ht="14.25" customHeight="1">
      <c r="C783" s="244"/>
      <c r="D783" s="26"/>
      <c r="E783" s="26"/>
      <c r="F783" s="26"/>
      <c r="G783" s="26"/>
      <c r="H783" s="5"/>
    </row>
    <row r="784" spans="2:38" ht="14.25" customHeight="1">
      <c r="C784" s="244"/>
      <c r="D784" s="26"/>
      <c r="E784" s="26"/>
      <c r="F784" s="26"/>
      <c r="G784" s="26"/>
      <c r="H784" s="5"/>
    </row>
    <row r="785" spans="3:8" ht="14.25" customHeight="1">
      <c r="C785" s="244"/>
      <c r="D785" s="26"/>
      <c r="E785" s="26"/>
      <c r="F785" s="26"/>
      <c r="G785" s="26"/>
      <c r="H785" s="5"/>
    </row>
    <row r="786" spans="3:8" ht="14.25" customHeight="1">
      <c r="C786" s="244"/>
      <c r="D786" s="26"/>
      <c r="E786" s="26"/>
      <c r="F786" s="26"/>
      <c r="G786" s="26"/>
      <c r="H786" s="5"/>
    </row>
    <row r="787" spans="3:8" ht="14.25" customHeight="1">
      <c r="C787" s="244"/>
      <c r="D787" s="26"/>
      <c r="E787" s="26"/>
      <c r="F787" s="26"/>
      <c r="G787" s="26"/>
      <c r="H787" s="5"/>
    </row>
    <row r="788" spans="3:8" ht="14.25" customHeight="1">
      <c r="C788" s="244"/>
      <c r="D788" s="26"/>
      <c r="E788" s="26"/>
      <c r="F788" s="26"/>
      <c r="G788" s="26"/>
      <c r="H788" s="5"/>
    </row>
    <row r="789" spans="3:8" ht="14.25" customHeight="1">
      <c r="C789" s="244"/>
      <c r="D789" s="26"/>
      <c r="E789" s="26"/>
      <c r="F789" s="26"/>
      <c r="G789" s="26"/>
      <c r="H789" s="5"/>
    </row>
    <row r="790" spans="3:8" ht="14.25" customHeight="1">
      <c r="C790" s="244"/>
      <c r="D790" s="26"/>
      <c r="E790" s="26"/>
      <c r="F790" s="26"/>
      <c r="G790" s="26"/>
      <c r="H790" s="5"/>
    </row>
    <row r="791" spans="3:8" ht="14.25" customHeight="1">
      <c r="C791" s="244"/>
      <c r="D791" s="26"/>
      <c r="E791" s="26"/>
      <c r="F791" s="26"/>
      <c r="G791" s="26"/>
      <c r="H791" s="5"/>
    </row>
    <row r="792" spans="3:8" ht="14.25" customHeight="1">
      <c r="C792" s="244"/>
      <c r="D792" s="26"/>
      <c r="E792" s="26"/>
      <c r="F792" s="26"/>
      <c r="G792" s="26"/>
      <c r="H792" s="5"/>
    </row>
    <row r="793" spans="3:8" ht="14.25" customHeight="1">
      <c r="C793" s="244"/>
      <c r="D793" s="26"/>
      <c r="E793" s="26"/>
      <c r="F793" s="26"/>
      <c r="G793" s="26"/>
      <c r="H793" s="5"/>
    </row>
    <row r="794" spans="3:8" ht="14.25" customHeight="1">
      <c r="C794" s="244"/>
      <c r="D794" s="26"/>
      <c r="E794" s="26"/>
      <c r="F794" s="26"/>
      <c r="G794" s="26"/>
      <c r="H794" s="5"/>
    </row>
    <row r="795" spans="3:8" ht="14.25" customHeight="1">
      <c r="C795" s="244"/>
      <c r="D795" s="26"/>
      <c r="E795" s="26"/>
      <c r="F795" s="26"/>
      <c r="G795" s="26"/>
      <c r="H795" s="5"/>
    </row>
    <row r="796" spans="3:8" ht="14.25" customHeight="1">
      <c r="C796" s="244"/>
      <c r="D796" s="26"/>
      <c r="E796" s="26"/>
      <c r="F796" s="26"/>
      <c r="G796" s="26"/>
      <c r="H796" s="5"/>
    </row>
    <row r="797" spans="3:8" ht="14.25" customHeight="1">
      <c r="C797" s="244"/>
      <c r="D797" s="26"/>
      <c r="E797" s="26"/>
      <c r="F797" s="26"/>
      <c r="G797" s="26"/>
      <c r="H797" s="5"/>
    </row>
    <row r="798" spans="3:8" ht="14.25" customHeight="1">
      <c r="C798" s="244"/>
      <c r="D798" s="26"/>
      <c r="E798" s="26"/>
      <c r="F798" s="26"/>
      <c r="G798" s="26"/>
      <c r="H798" s="5"/>
    </row>
    <row r="799" spans="3:8" ht="14.25" customHeight="1">
      <c r="C799" s="244"/>
      <c r="D799" s="26"/>
      <c r="E799" s="26"/>
      <c r="F799" s="26"/>
      <c r="G799" s="26"/>
      <c r="H799" s="5"/>
    </row>
    <row r="800" spans="3:8" ht="14.25" customHeight="1">
      <c r="C800" s="244"/>
      <c r="D800" s="26"/>
      <c r="E800" s="26"/>
      <c r="F800" s="26"/>
      <c r="G800" s="26"/>
      <c r="H800" s="5"/>
    </row>
    <row r="801" spans="3:8" ht="14.25" customHeight="1">
      <c r="C801" s="244"/>
      <c r="D801" s="26"/>
      <c r="E801" s="26"/>
      <c r="F801" s="26"/>
      <c r="G801" s="26"/>
      <c r="H801" s="5"/>
    </row>
    <row r="802" spans="3:8" ht="14.25" customHeight="1">
      <c r="C802" s="244"/>
      <c r="D802" s="26"/>
      <c r="E802" s="26"/>
      <c r="F802" s="26"/>
      <c r="G802" s="26"/>
      <c r="H802" s="5"/>
    </row>
    <row r="803" spans="3:8" ht="14.25" customHeight="1">
      <c r="C803" s="244"/>
      <c r="D803" s="26"/>
      <c r="E803" s="26"/>
      <c r="F803" s="26"/>
      <c r="G803" s="26"/>
      <c r="H803" s="5"/>
    </row>
    <row r="804" spans="3:8" ht="14.25" customHeight="1">
      <c r="C804" s="244"/>
      <c r="D804" s="26"/>
      <c r="E804" s="26"/>
      <c r="F804" s="26"/>
      <c r="G804" s="26"/>
      <c r="H804" s="5"/>
    </row>
    <row r="805" spans="3:8" ht="14.25" customHeight="1">
      <c r="C805" s="244"/>
      <c r="D805" s="26"/>
      <c r="E805" s="26"/>
      <c r="F805" s="26"/>
      <c r="G805" s="26"/>
      <c r="H805" s="5"/>
    </row>
    <row r="806" spans="3:8" ht="14.25" customHeight="1">
      <c r="C806" s="244"/>
      <c r="D806" s="26"/>
      <c r="E806" s="26"/>
      <c r="F806" s="26"/>
      <c r="G806" s="26"/>
      <c r="H806" s="5"/>
    </row>
    <row r="807" spans="3:8" ht="14.25" customHeight="1">
      <c r="C807" s="244"/>
      <c r="D807" s="26"/>
      <c r="E807" s="26"/>
      <c r="F807" s="26"/>
      <c r="G807" s="26"/>
      <c r="H807" s="5"/>
    </row>
    <row r="808" spans="3:8" ht="14.25" customHeight="1">
      <c r="C808" s="244"/>
      <c r="D808" s="26"/>
      <c r="E808" s="26"/>
      <c r="F808" s="26"/>
      <c r="G808" s="26"/>
      <c r="H808" s="5"/>
    </row>
    <row r="809" spans="3:8" ht="14.25" customHeight="1">
      <c r="C809" s="244"/>
      <c r="D809" s="26"/>
      <c r="E809" s="26"/>
      <c r="F809" s="26"/>
      <c r="G809" s="26"/>
      <c r="H809" s="5"/>
    </row>
    <row r="810" spans="3:8" ht="14.25" customHeight="1">
      <c r="C810" s="244"/>
      <c r="D810" s="26"/>
      <c r="E810" s="26"/>
      <c r="F810" s="26"/>
      <c r="G810" s="26"/>
      <c r="H810" s="5"/>
    </row>
    <row r="811" spans="3:8" ht="14.25" customHeight="1">
      <c r="C811" s="244"/>
      <c r="D811" s="26"/>
      <c r="E811" s="26"/>
      <c r="F811" s="26"/>
      <c r="G811" s="26"/>
      <c r="H811" s="5"/>
    </row>
    <row r="812" spans="3:8" ht="14.25" customHeight="1">
      <c r="C812" s="244"/>
      <c r="D812" s="26"/>
      <c r="E812" s="26"/>
      <c r="F812" s="26"/>
      <c r="G812" s="26"/>
      <c r="H812" s="5"/>
    </row>
    <row r="813" spans="3:8" ht="14.25" customHeight="1">
      <c r="C813" s="244"/>
      <c r="D813" s="26"/>
      <c r="E813" s="26"/>
      <c r="F813" s="26"/>
      <c r="G813" s="26"/>
      <c r="H813" s="5"/>
    </row>
    <row r="814" spans="3:8" ht="14.25" customHeight="1">
      <c r="C814" s="244"/>
      <c r="D814" s="26"/>
      <c r="E814" s="26"/>
      <c r="F814" s="26"/>
      <c r="G814" s="26"/>
      <c r="H814" s="5"/>
    </row>
    <row r="815" spans="3:8" ht="14.25" customHeight="1">
      <c r="C815" s="244"/>
      <c r="D815" s="26"/>
      <c r="E815" s="26"/>
      <c r="F815" s="26"/>
      <c r="G815" s="26"/>
      <c r="H815" s="5"/>
    </row>
    <row r="816" spans="3:8" ht="14.25" customHeight="1">
      <c r="C816" s="244"/>
      <c r="D816" s="26"/>
      <c r="E816" s="26"/>
      <c r="F816" s="26"/>
      <c r="G816" s="26"/>
      <c r="H816" s="5"/>
    </row>
    <row r="817" spans="2:46" ht="14.25" customHeight="1">
      <c r="C817" s="244"/>
      <c r="D817" s="26"/>
      <c r="E817" s="26"/>
      <c r="F817" s="26"/>
      <c r="G817" s="26"/>
      <c r="H817" s="5"/>
    </row>
    <row r="818" spans="2:46" ht="14.25" customHeight="1">
      <c r="C818" s="244"/>
      <c r="D818" s="26"/>
      <c r="E818" s="26"/>
      <c r="F818" s="26"/>
      <c r="G818" s="26"/>
      <c r="H818" s="5"/>
    </row>
    <row r="819" spans="2:46" ht="14.25" customHeight="1">
      <c r="C819" s="244"/>
      <c r="D819" s="26"/>
      <c r="E819" s="26"/>
      <c r="F819" s="26"/>
      <c r="G819" s="26"/>
      <c r="H819" s="5"/>
    </row>
    <row r="820" spans="2:46" ht="14.25" customHeight="1">
      <c r="C820" s="244"/>
      <c r="D820" s="26"/>
      <c r="E820" s="26"/>
      <c r="F820" s="26"/>
      <c r="G820" s="26"/>
      <c r="H820" s="5"/>
    </row>
    <row r="821" spans="2:46" ht="14.25" customHeight="1">
      <c r="C821" s="244"/>
      <c r="D821" s="26"/>
      <c r="E821" s="26"/>
      <c r="F821" s="26"/>
      <c r="G821" s="26"/>
      <c r="H821" s="5"/>
    </row>
    <row r="822" spans="2:46" ht="14.25" customHeight="1">
      <c r="C822" s="244"/>
      <c r="D822" s="26"/>
      <c r="E822" s="26"/>
      <c r="F822" s="26"/>
      <c r="G822" s="26"/>
      <c r="H822" s="5"/>
    </row>
    <row r="823" spans="2:46" ht="14.25" customHeight="1">
      <c r="C823" s="244"/>
      <c r="D823" s="26"/>
      <c r="E823" s="26"/>
      <c r="F823" s="26"/>
      <c r="G823" s="26"/>
      <c r="H823" s="5"/>
    </row>
    <row r="824" spans="2:46" ht="14.25" customHeight="1">
      <c r="C824" s="244"/>
      <c r="D824" s="26"/>
      <c r="E824" s="26"/>
      <c r="F824" s="26"/>
      <c r="G824" s="26"/>
      <c r="H824" s="5"/>
    </row>
    <row r="825" spans="2:46" ht="14.25" customHeight="1">
      <c r="C825" s="244"/>
      <c r="D825" s="26"/>
      <c r="E825" s="26"/>
      <c r="F825" s="26"/>
      <c r="G825" s="26"/>
      <c r="H825" s="5"/>
    </row>
    <row r="826" spans="2:46" ht="14.25" customHeight="1">
      <c r="C826" s="244"/>
      <c r="D826" s="26"/>
      <c r="E826" s="26"/>
      <c r="F826" s="26"/>
      <c r="G826" s="26"/>
      <c r="H826" s="5"/>
    </row>
    <row r="827" spans="2:46" ht="14.25" customHeight="1">
      <c r="C827" s="244"/>
      <c r="D827" s="26"/>
      <c r="E827" s="26"/>
      <c r="F827" s="26"/>
      <c r="G827" s="26"/>
      <c r="H827" s="5"/>
    </row>
    <row r="828" spans="2:46" ht="14.25" customHeight="1">
      <c r="C828" s="244"/>
      <c r="D828" s="26"/>
      <c r="E828" s="26"/>
      <c r="F828" s="26"/>
      <c r="G828" s="26"/>
      <c r="H828" s="5"/>
    </row>
    <row r="829" spans="2:46" s="8" customFormat="1">
      <c r="B829" s="550" t="str">
        <f>TITLE!C20</f>
        <v>Полотна збірні: ЛАДА C</v>
      </c>
      <c r="C829" s="550"/>
      <c r="D829" s="117"/>
      <c r="E829" s="117"/>
      <c r="F829" s="117"/>
      <c r="G829" s="117"/>
      <c r="H829" s="552"/>
      <c r="I829" s="552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544" t="str">
        <f>IF($C$1="ENG",CONCATENATE("up to: ",B755),CONCATENATE("вгору до: ",B755))</f>
        <v>вгору до: Полотна збірні: ЛАДА B</v>
      </c>
      <c r="U829" s="544"/>
      <c r="V829" s="544"/>
      <c r="W829" s="544"/>
      <c r="AN829" s="279"/>
      <c r="AO829" s="279"/>
      <c r="AP829" s="279"/>
      <c r="AQ829" s="279"/>
      <c r="AR829" s="279"/>
      <c r="AS829" s="279"/>
      <c r="AT829" s="279"/>
    </row>
    <row r="830" spans="2:46" s="8" customFormat="1" ht="5.0999999999999996" customHeight="1">
      <c r="B830" s="116"/>
      <c r="C830" s="418"/>
      <c r="D830" s="9"/>
      <c r="E830" s="9"/>
      <c r="F830" s="9"/>
      <c r="G830" s="9"/>
      <c r="H830" s="119"/>
      <c r="I830" s="119"/>
      <c r="T830" s="114"/>
      <c r="U830" s="114"/>
      <c r="V830" s="114"/>
      <c r="W830" s="114"/>
      <c r="AN830" s="279"/>
      <c r="AO830" s="279"/>
      <c r="AP830" s="279"/>
      <c r="AQ830" s="279"/>
      <c r="AR830" s="279"/>
      <c r="AS830" s="279"/>
      <c r="AT830" s="279"/>
    </row>
    <row r="831" spans="2:46" s="8" customFormat="1" ht="12.75" customHeight="1">
      <c r="B831" s="556" t="str">
        <f>IF($C$1="ENG","model","модель")</f>
        <v>модель</v>
      </c>
      <c r="C831" s="121" t="str">
        <f>IF($C$1="ENG","cover:","покриття:")</f>
        <v>покриття:</v>
      </c>
      <c r="D831" s="538" t="str">
        <f>IF($C$1="ENG","Verto-CELL","Verto-CELL")</f>
        <v>Verto-CELL</v>
      </c>
      <c r="E831" s="539"/>
      <c r="F831" s="538" t="str">
        <f>IF($C$1="ENG","UNI-MAT","UNI-MAT")</f>
        <v>UNI-MAT</v>
      </c>
      <c r="G831" s="539"/>
      <c r="H831" s="538" t="str">
        <f>IF($C$1="ENG","RESIST","RESIST")</f>
        <v>RESIST</v>
      </c>
      <c r="I831" s="539"/>
      <c r="J831" s="538" t="str">
        <f>IF($C$1="ENG","Verto LINE-3D","Verto LINE-3D")</f>
        <v>Verto LINE-3D</v>
      </c>
      <c r="K831" s="539"/>
      <c r="L831" s="538" t="str">
        <f>IF($C$1="ENG","ECO Shpon","ЕКО Шпон")</f>
        <v>ЕКО Шпон</v>
      </c>
      <c r="M831" s="539"/>
      <c r="P831" s="1"/>
      <c r="Q831" s="1"/>
      <c r="T831" s="114"/>
      <c r="U831" s="114"/>
      <c r="V831" s="114"/>
      <c r="W831" s="114"/>
      <c r="AN831" s="279"/>
      <c r="AO831" s="279"/>
      <c r="AP831" s="279"/>
      <c r="AQ831" s="279"/>
      <c r="AR831" s="279"/>
      <c r="AS831" s="279"/>
      <c r="AT831" s="279"/>
    </row>
    <row r="832" spans="2:46" s="8" customFormat="1" ht="24.75" customHeight="1">
      <c r="B832" s="557"/>
      <c r="C832" s="122" t="str">
        <f>IF($C$1="ENG","filling:","заповнення:")</f>
        <v>заповнення:</v>
      </c>
      <c r="D832" s="540" t="str">
        <f>IF($C$1="ENG","softwood","клеєний сосновий брус")</f>
        <v>клеєний сосновий брус</v>
      </c>
      <c r="E832" s="541"/>
      <c r="F832" s="540" t="str">
        <f>IF($C$1="ENG","softwood","клеєний сосновий брус")</f>
        <v>клеєний сосновий брус</v>
      </c>
      <c r="G832" s="541"/>
      <c r="H832" s="540" t="str">
        <f>IF($C$1="ENG","softwood","клеєний сосновий брус")</f>
        <v>клеєний сосновий брус</v>
      </c>
      <c r="I832" s="541"/>
      <c r="J832" s="540" t="str">
        <f>IF($C$1="ENG","softwood","клеєний сосновий брус")</f>
        <v>клеєний сосновий брус</v>
      </c>
      <c r="K832" s="541"/>
      <c r="L832" s="540" t="str">
        <f>IF($C$1="ENG","softwood","клеєний сосновий брус")</f>
        <v>клеєний сосновий брус</v>
      </c>
      <c r="M832" s="541"/>
      <c r="P832" s="1"/>
      <c r="Q832" s="1"/>
      <c r="T832" s="114"/>
      <c r="U832" s="114"/>
      <c r="V832" s="114"/>
      <c r="W832" s="114"/>
      <c r="AD832" s="381">
        <f>AD834/AC834-1</f>
        <v>0.13991163475699553</v>
      </c>
      <c r="AE832" s="381">
        <f>AE834/AD834-1</f>
        <v>4.0051679586563305E-2</v>
      </c>
      <c r="AF832" s="381">
        <f>AF834/AE834-1</f>
        <v>8.9440993788819867E-2</v>
      </c>
      <c r="AG832" s="381">
        <f>AG834/AF834-1</f>
        <v>4.903078677309014E-2</v>
      </c>
      <c r="AN832" s="279"/>
      <c r="AO832" s="279"/>
      <c r="AP832" s="279"/>
      <c r="AQ832" s="279"/>
      <c r="AR832" s="279"/>
      <c r="AS832" s="279"/>
      <c r="AT832" s="279"/>
    </row>
    <row r="833" spans="1:43" ht="12.75" customHeight="1">
      <c r="A833" s="8"/>
      <c r="B833" s="558"/>
      <c r="C833" s="123" t="str">
        <f>IF($C$1="ENG","glazing:","скління:")</f>
        <v>скління:</v>
      </c>
      <c r="D833" s="542" t="str">
        <f>IF($C$1="ENG","Satin","Сатин")</f>
        <v>Сатин</v>
      </c>
      <c r="E833" s="543"/>
      <c r="F833" s="542" t="str">
        <f>IF($C$1="ENG","Satin","Сатин")</f>
        <v>Сатин</v>
      </c>
      <c r="G833" s="543"/>
      <c r="H833" s="542" t="str">
        <f>IF($C$1="ENG","Satin","Сатин")</f>
        <v>Сатин</v>
      </c>
      <c r="I833" s="543"/>
      <c r="J833" s="542" t="str">
        <f>IF($C$1="ENG","Satin","Сатин")</f>
        <v>Сатин</v>
      </c>
      <c r="K833" s="543"/>
      <c r="L833" s="542" t="str">
        <f>IF($C$1="ENG","Satin","Сатин")</f>
        <v>Сатин</v>
      </c>
      <c r="M833" s="543"/>
    </row>
    <row r="834" spans="1:43" ht="35.1" customHeight="1">
      <c r="A834" s="8"/>
      <c r="B834" s="16" t="s">
        <v>33</v>
      </c>
      <c r="C834" s="17"/>
      <c r="D834" s="18">
        <f>IF(AC834="","",(1-$W$2)*(AC834/1.2))</f>
        <v>5658.3333333333339</v>
      </c>
      <c r="E834" s="66">
        <f>IF($W$5=0.2,D834*1.2,D834)/$W$4</f>
        <v>6790.0000000000009</v>
      </c>
      <c r="F834" s="18">
        <f>IF(AD834="","",(1-$W$2)*(AD834/1.2))</f>
        <v>6450</v>
      </c>
      <c r="G834" s="66">
        <f>IF($W$5=0.2,F834*1.2,F834)/$W$4</f>
        <v>7740</v>
      </c>
      <c r="H834" s="18">
        <f>IF(AE834="","",(1-$W$2)*(AE834/1.2))</f>
        <v>6708.3333333333339</v>
      </c>
      <c r="I834" s="66">
        <f>IF($W$5=0.2,H834*1.2,H834)/$W$4</f>
        <v>8050</v>
      </c>
      <c r="J834" s="18">
        <f>IF(AF834="","",(1-$W$2)*(AF834/1.2))</f>
        <v>7308.3333333333339</v>
      </c>
      <c r="K834" s="66">
        <f>IF($W$5=0.2,J834*1.2,J834)/$W$4</f>
        <v>8770</v>
      </c>
      <c r="L834" s="18">
        <f>IF(AG834="","",(1-$W$2)*(AG834/1.2))</f>
        <v>7666.666666666667</v>
      </c>
      <c r="M834" s="66">
        <f>IF($W$5=0.2,L834*1.2,L834)/$W$4</f>
        <v>9200</v>
      </c>
      <c r="N834" s="103"/>
      <c r="R834" s="103"/>
      <c r="T834" s="103"/>
      <c r="U834" s="20"/>
      <c r="V834" s="103"/>
      <c r="W834" s="20"/>
      <c r="X834" s="103"/>
      <c r="Y834" s="103"/>
      <c r="Z834" s="103"/>
      <c r="AA834" s="103"/>
      <c r="AB834" s="103"/>
      <c r="AC834" s="331">
        <v>6790</v>
      </c>
      <c r="AD834" s="389">
        <v>7740</v>
      </c>
      <c r="AE834" s="331">
        <v>8050</v>
      </c>
      <c r="AF834" s="331">
        <v>8770</v>
      </c>
      <c r="AG834" s="331">
        <v>9200</v>
      </c>
      <c r="AH834" s="288">
        <v>6790</v>
      </c>
      <c r="AI834" s="288">
        <f>AH834/AC834-1</f>
        <v>0</v>
      </c>
      <c r="AJ834" s="288">
        <v>7740</v>
      </c>
      <c r="AK834" s="288">
        <f>AJ834/AD834-1</f>
        <v>0</v>
      </c>
      <c r="AL834" s="288">
        <v>8050</v>
      </c>
      <c r="AM834" s="1">
        <f>AL834/AE834-1</f>
        <v>0</v>
      </c>
      <c r="AN834" s="30">
        <v>8770</v>
      </c>
      <c r="AO834" s="1">
        <f>AN834/AF834-1</f>
        <v>0</v>
      </c>
      <c r="AP834" s="1">
        <v>9200</v>
      </c>
      <c r="AQ834" s="1">
        <f>AP834/AG834-1</f>
        <v>0</v>
      </c>
    </row>
    <row r="835" spans="1:43" ht="35.1" customHeight="1">
      <c r="A835" s="8"/>
      <c r="B835" s="23" t="s">
        <v>34</v>
      </c>
      <c r="C835" s="24"/>
      <c r="D835" s="25">
        <f>IF(AC835="","",(1-$W$2)*(AC835/1.2))</f>
        <v>5658.3333333333339</v>
      </c>
      <c r="E835" s="69">
        <f>IF($W$5=0.2,D835*1.2,D835)/$W$4</f>
        <v>6790.0000000000009</v>
      </c>
      <c r="F835" s="25">
        <f>IF(AD835="","",(1-$W$2)*(AD835/1.2))</f>
        <v>6450</v>
      </c>
      <c r="G835" s="69">
        <f>IF($W$5=0.2,F835*1.2,F835)/$W$4</f>
        <v>7740</v>
      </c>
      <c r="H835" s="25">
        <f>IF(AE835="","",(1-$W$2)*(AE835/1.2))</f>
        <v>6708.3333333333339</v>
      </c>
      <c r="I835" s="69">
        <f>IF($W$5=0.2,H835*1.2,H835)/$W$4</f>
        <v>8050</v>
      </c>
      <c r="J835" s="25">
        <f>IF(AF835="","",(1-$W$2)*(AF835/1.2))</f>
        <v>7308.3333333333339</v>
      </c>
      <c r="K835" s="69">
        <f>IF($W$5=0.2,J835*1.2,J835)/$W$4</f>
        <v>8770</v>
      </c>
      <c r="L835" s="25">
        <f>IF(AG835="","",(1-$W$2)*(AG835/1.2))</f>
        <v>7666.666666666667</v>
      </c>
      <c r="M835" s="69">
        <f>IF($W$5=0.2,L835*1.2,L835)/$W$4</f>
        <v>9200</v>
      </c>
      <c r="N835" s="103"/>
      <c r="R835" s="103"/>
      <c r="T835" s="103"/>
      <c r="U835" s="20"/>
      <c r="V835" s="103"/>
      <c r="W835" s="20"/>
      <c r="X835" s="103"/>
      <c r="Y835" s="103"/>
      <c r="Z835" s="103"/>
      <c r="AA835" s="103"/>
      <c r="AB835" s="103"/>
      <c r="AC835" s="331">
        <v>6790</v>
      </c>
      <c r="AD835" s="389">
        <v>7740</v>
      </c>
      <c r="AE835" s="331">
        <v>8050</v>
      </c>
      <c r="AF835" s="331">
        <v>8770</v>
      </c>
      <c r="AG835" s="331">
        <v>9200</v>
      </c>
      <c r="AH835" s="288">
        <v>6790</v>
      </c>
      <c r="AI835" s="288">
        <f>AH835/AC835-1</f>
        <v>0</v>
      </c>
      <c r="AJ835" s="288">
        <v>7740</v>
      </c>
      <c r="AK835" s="288">
        <f>AJ835/AD835-1</f>
        <v>0</v>
      </c>
      <c r="AL835" s="288">
        <v>8050</v>
      </c>
      <c r="AM835" s="1">
        <f>AL835/AE835-1</f>
        <v>0</v>
      </c>
      <c r="AN835" s="30">
        <v>8770</v>
      </c>
      <c r="AO835" s="1">
        <f>AN835/AF835-1</f>
        <v>0</v>
      </c>
      <c r="AP835" s="1">
        <v>9200</v>
      </c>
      <c r="AQ835" s="1">
        <f>AP835/AG835-1</f>
        <v>0</v>
      </c>
    </row>
    <row r="836" spans="1:43">
      <c r="C836" s="244"/>
      <c r="D836" s="26"/>
      <c r="E836" s="57"/>
      <c r="F836" s="26"/>
      <c r="G836" s="57"/>
      <c r="H836" s="10"/>
      <c r="I836" s="8"/>
      <c r="J836" s="8"/>
      <c r="K836" s="8"/>
    </row>
    <row r="837" spans="1:43">
      <c r="B837" s="211" t="str">
        <f>IF($C$1="ENG","For additonal charge:","Послуги за додаткову плату:")</f>
        <v>Послуги за додаткову плату:</v>
      </c>
      <c r="C837" s="419"/>
      <c r="D837" s="212"/>
      <c r="E837" s="213"/>
      <c r="F837" s="26"/>
      <c r="G837" s="57"/>
      <c r="H837" s="10"/>
      <c r="I837" s="8"/>
      <c r="J837" s="8"/>
      <c r="K837" s="8"/>
    </row>
    <row r="838" spans="1:43" ht="5.0999999999999996" customHeight="1">
      <c r="B838" s="27"/>
      <c r="C838" s="244"/>
      <c r="D838" s="26"/>
      <c r="E838" s="57"/>
      <c r="F838" s="26"/>
      <c r="G838" s="57"/>
      <c r="H838" s="10"/>
      <c r="I838" s="8"/>
      <c r="J838" s="8"/>
      <c r="K838" s="8"/>
    </row>
    <row r="839" spans="1:43">
      <c r="B839" s="561" t="str">
        <f>IF($C$1="ENG","door leaf with width 100","полотно розміром 100")</f>
        <v>полотно розміром 100</v>
      </c>
      <c r="C839" s="562"/>
      <c r="D839" s="408">
        <f t="shared" ref="D839:D850" si="127">IF(AC839="","",(1-$W$2)*(AC839/1.2))</f>
        <v>600</v>
      </c>
      <c r="E839" s="91">
        <f t="shared" ref="E839:E849" si="128">IF($W$5=0.2,D839*1.2,D839)/$W$4</f>
        <v>720</v>
      </c>
      <c r="F839" s="26"/>
      <c r="G839" s="26"/>
      <c r="H839" s="10"/>
      <c r="I839" s="8"/>
      <c r="J839" s="8"/>
      <c r="K839" s="8"/>
      <c r="AC839" s="288">
        <v>720</v>
      </c>
      <c r="AD839" s="297">
        <v>720</v>
      </c>
      <c r="AE839" s="288">
        <f>AD839/AC839-1</f>
        <v>0</v>
      </c>
      <c r="AF839" s="288"/>
      <c r="AG839" s="288"/>
      <c r="AH839" s="288"/>
      <c r="AI839" s="288"/>
      <c r="AJ839" s="288"/>
      <c r="AK839" s="288"/>
      <c r="AL839" s="288"/>
    </row>
    <row r="840" spans="1:43">
      <c r="B840" s="561" t="str">
        <f>IF($C$1="ENG","Ventilation cut","вентиляційний підріз")</f>
        <v>вентиляційний підріз</v>
      </c>
      <c r="C840" s="562"/>
      <c r="D840" s="403">
        <f t="shared" si="127"/>
        <v>141.66666666666669</v>
      </c>
      <c r="E840" s="66">
        <f t="shared" si="128"/>
        <v>170.00000000000003</v>
      </c>
      <c r="F840" s="26"/>
      <c r="G840" s="26"/>
      <c r="I840" s="59"/>
      <c r="J840" s="28"/>
      <c r="AC840" s="288">
        <v>170</v>
      </c>
      <c r="AD840" s="297">
        <v>170</v>
      </c>
      <c r="AE840" s="288"/>
      <c r="AF840" s="288"/>
      <c r="AG840" s="288"/>
      <c r="AH840" s="288"/>
      <c r="AI840" s="288"/>
      <c r="AJ840" s="288"/>
      <c r="AK840" s="288"/>
      <c r="AL840" s="288"/>
    </row>
    <row r="841" spans="1:43">
      <c r="B841" s="554" t="str">
        <f>IF($C$1="ENG","glazing Graphite / Bronze","скло Графіт / Бронза")</f>
        <v>скло Графіт / Бронза</v>
      </c>
      <c r="C841" s="555"/>
      <c r="D841" s="405">
        <f t="shared" si="127"/>
        <v>458.33333333333337</v>
      </c>
      <c r="E841" s="92">
        <f t="shared" si="128"/>
        <v>550</v>
      </c>
      <c r="F841" s="26"/>
      <c r="G841" s="26"/>
      <c r="H841" s="5"/>
      <c r="AC841" s="288">
        <v>550</v>
      </c>
      <c r="AD841" s="297">
        <v>550</v>
      </c>
      <c r="AE841" s="288"/>
      <c r="AF841" s="288"/>
      <c r="AG841" s="288"/>
      <c r="AH841" s="288"/>
      <c r="AI841" s="288"/>
      <c r="AJ841" s="288"/>
      <c r="AK841" s="288"/>
      <c r="AL841" s="288"/>
    </row>
    <row r="842" spans="1:43">
      <c r="B842" s="554" t="str">
        <f>IF($C$1="ENG","door lock Soft","замок Soft")</f>
        <v>замок Soft</v>
      </c>
      <c r="C842" s="555"/>
      <c r="D842" s="405">
        <f t="shared" si="127"/>
        <v>458.33333333333337</v>
      </c>
      <c r="E842" s="92">
        <f t="shared" si="128"/>
        <v>550</v>
      </c>
      <c r="F842" s="26"/>
      <c r="G842" s="26"/>
      <c r="H842" s="5"/>
      <c r="AC842" s="288">
        <v>550</v>
      </c>
      <c r="AD842" s="297">
        <v>550</v>
      </c>
      <c r="AE842" s="288"/>
      <c r="AF842" s="288"/>
      <c r="AG842" s="288"/>
      <c r="AH842" s="288"/>
      <c r="AI842" s="288"/>
      <c r="AJ842" s="288"/>
      <c r="AK842" s="288"/>
      <c r="AL842" s="288"/>
    </row>
    <row r="843" spans="1:43">
      <c r="B843" s="554" t="str">
        <f>IF($C$1="ENG","door lock Soft black","замок Soft чорн.")</f>
        <v>замок Soft чорн.</v>
      </c>
      <c r="C843" s="555"/>
      <c r="D843" s="405">
        <f t="shared" ref="D843" si="129">IF(AC843="","",(1-$W$2)*(AC843/1.2))</f>
        <v>566.66666666666674</v>
      </c>
      <c r="E843" s="92">
        <f t="shared" ref="E843" si="130">IF($W$5=0.2,D843*1.2,D843)/$W$4</f>
        <v>680.00000000000011</v>
      </c>
      <c r="F843" s="26"/>
      <c r="G843" s="26"/>
      <c r="H843" s="5"/>
      <c r="AC843" s="288">
        <v>680</v>
      </c>
      <c r="AD843" s="297"/>
      <c r="AE843" s="288"/>
      <c r="AF843" s="288"/>
      <c r="AG843" s="288"/>
      <c r="AH843" s="288"/>
      <c r="AI843" s="288"/>
      <c r="AJ843" s="288"/>
      <c r="AK843" s="288"/>
      <c r="AL843" s="288"/>
    </row>
    <row r="844" spans="1:43">
      <c r="B844" s="554" t="str">
        <f>IF($C$1="ENG","door lock Magnet","замок Magnet")</f>
        <v>замок Magnet</v>
      </c>
      <c r="C844" s="555"/>
      <c r="D844" s="405">
        <f t="shared" si="127"/>
        <v>666.66666666666674</v>
      </c>
      <c r="E844" s="92">
        <f t="shared" si="128"/>
        <v>800.00000000000011</v>
      </c>
      <c r="F844" s="26"/>
      <c r="G844" s="26"/>
      <c r="H844" s="5"/>
      <c r="AC844" s="288">
        <v>800</v>
      </c>
      <c r="AD844" s="297">
        <v>800</v>
      </c>
      <c r="AE844" s="288"/>
      <c r="AF844" s="288"/>
      <c r="AG844" s="288"/>
      <c r="AH844" s="288"/>
      <c r="AI844" s="288"/>
      <c r="AJ844" s="288"/>
      <c r="AK844" s="288"/>
      <c r="AL844" s="288"/>
    </row>
    <row r="845" spans="1:43">
      <c r="B845" s="554" t="s">
        <v>66</v>
      </c>
      <c r="C845" s="555"/>
      <c r="D845" s="405">
        <f t="shared" ref="D845" si="131">IF(AC845="","",(1-$W$2)*(AC845/1.2))</f>
        <v>833.33333333333337</v>
      </c>
      <c r="E845" s="92">
        <f t="shared" ref="E845" si="132">IF($W$5=0.2,D845*1.2,D845)/$W$4</f>
        <v>1000</v>
      </c>
      <c r="F845" s="26"/>
      <c r="G845" s="26"/>
      <c r="H845" s="5"/>
      <c r="AC845" s="288">
        <v>1000</v>
      </c>
      <c r="AD845" s="297"/>
      <c r="AE845" s="288"/>
      <c r="AF845" s="288"/>
      <c r="AG845" s="288"/>
      <c r="AH845" s="288"/>
      <c r="AI845" s="288"/>
      <c r="AJ845" s="288"/>
      <c r="AK845" s="288"/>
      <c r="AL845" s="288"/>
    </row>
    <row r="846" spans="1:43">
      <c r="B846" s="554" t="str">
        <f>IF($C$1="ENG","door handle-lock (for sliding doors)","ручка-замок (для дверей купе)")</f>
        <v>ручка-замок (для дверей купе)</v>
      </c>
      <c r="C846" s="555"/>
      <c r="D846" s="403">
        <f t="shared" si="127"/>
        <v>466.66666666666669</v>
      </c>
      <c r="E846" s="92">
        <f t="shared" si="128"/>
        <v>560</v>
      </c>
      <c r="F846" s="26"/>
      <c r="G846" s="26"/>
      <c r="I846" s="11"/>
      <c r="J846" s="11"/>
      <c r="K846" s="19"/>
      <c r="AC846" s="288">
        <v>560</v>
      </c>
      <c r="AD846" s="297">
        <v>560</v>
      </c>
      <c r="AE846" s="288"/>
      <c r="AF846" s="288"/>
      <c r="AG846" s="288"/>
      <c r="AH846" s="288"/>
      <c r="AI846" s="288"/>
      <c r="AJ846" s="288"/>
      <c r="AK846" s="288"/>
      <c r="AL846" s="288"/>
    </row>
    <row r="847" spans="1:43">
      <c r="B847" s="554" t="str">
        <f>IF($C$1="ENG","cylinder incert","циліндр несиметричний")</f>
        <v>циліндр несиметричний</v>
      </c>
      <c r="C847" s="555"/>
      <c r="D847" s="403">
        <f t="shared" si="127"/>
        <v>325</v>
      </c>
      <c r="E847" s="92">
        <f t="shared" si="128"/>
        <v>390</v>
      </c>
      <c r="F847" s="26"/>
      <c r="G847" s="26"/>
      <c r="AC847" s="288">
        <v>390</v>
      </c>
      <c r="AD847" s="297">
        <v>390</v>
      </c>
      <c r="AE847" s="288"/>
      <c r="AF847" s="288"/>
      <c r="AG847" s="288"/>
      <c r="AH847" s="288"/>
      <c r="AI847" s="288"/>
      <c r="AJ847" s="288"/>
      <c r="AK847" s="288"/>
      <c r="AL847" s="288"/>
    </row>
    <row r="848" spans="1:43">
      <c r="B848" s="554" t="str">
        <f>IF($C$1="ENG","door hindge Prestige (1 unit)","завіса Prestige (1 шт)")</f>
        <v>завіса Prestige (1 шт)</v>
      </c>
      <c r="C848" s="555"/>
      <c r="D848" s="406">
        <f t="shared" si="127"/>
        <v>216.66666666666669</v>
      </c>
      <c r="E848" s="92">
        <f t="shared" si="128"/>
        <v>260</v>
      </c>
      <c r="F848" s="26"/>
      <c r="G848" s="26"/>
      <c r="AC848" s="288">
        <v>260</v>
      </c>
      <c r="AD848" s="297">
        <v>260</v>
      </c>
      <c r="AE848" s="288"/>
      <c r="AF848" s="288"/>
      <c r="AG848" s="288"/>
      <c r="AH848" s="288"/>
      <c r="AI848" s="288"/>
      <c r="AJ848" s="288"/>
      <c r="AK848" s="288"/>
      <c r="AL848" s="288"/>
    </row>
    <row r="849" spans="2:38">
      <c r="B849" s="554" t="str">
        <f>IF($C$1="ENG","door hinge caps (1 set)","накладка на завіси (1 к-т)")</f>
        <v>накладка на завіси (1 к-т)</v>
      </c>
      <c r="C849" s="555"/>
      <c r="D849" s="406">
        <f t="shared" si="127"/>
        <v>66.666666666666671</v>
      </c>
      <c r="E849" s="92">
        <f t="shared" si="128"/>
        <v>80</v>
      </c>
      <c r="F849" s="26"/>
      <c r="G849" s="26"/>
      <c r="AC849" s="288">
        <v>80</v>
      </c>
      <c r="AD849" s="297">
        <v>80</v>
      </c>
      <c r="AE849" s="288"/>
      <c r="AF849" s="288"/>
      <c r="AG849" s="288"/>
      <c r="AH849" s="288"/>
      <c r="AI849" s="288"/>
      <c r="AJ849" s="288"/>
      <c r="AK849" s="288"/>
      <c r="AL849" s="288"/>
    </row>
    <row r="850" spans="2:38">
      <c r="B850" s="554" t="str">
        <f>IF($C$1="ENG","door handle","дверна ручка")</f>
        <v>дверна ручка</v>
      </c>
      <c r="C850" s="555"/>
      <c r="D850" s="407" t="str">
        <f t="shared" si="127"/>
        <v/>
      </c>
      <c r="E850" s="246" t="str">
        <f>IF($C$1="ENG","see Handles Price","див. Таблицю Ручки")</f>
        <v>див. Таблицю Ручки</v>
      </c>
      <c r="F850" s="26"/>
      <c r="G850" s="26"/>
      <c r="AC850" s="288"/>
      <c r="AD850" s="288"/>
      <c r="AE850" s="288"/>
      <c r="AF850" s="288"/>
      <c r="AG850" s="288"/>
      <c r="AH850" s="288"/>
      <c r="AI850" s="288"/>
      <c r="AJ850" s="288"/>
      <c r="AK850" s="288"/>
      <c r="AL850" s="288"/>
    </row>
    <row r="851" spans="2:38" ht="14.25" customHeight="1">
      <c r="C851" s="244"/>
      <c r="D851" s="26"/>
      <c r="E851" s="26"/>
      <c r="F851" s="26"/>
      <c r="G851" s="26"/>
      <c r="H851" s="5"/>
      <c r="T851" s="536" t="str">
        <f>IF($C$1="ENG",CONCATENATE("down to: ",B901),CONCATENATE("вниз до: ",B901))</f>
        <v>вниз до: Полотна збірні: ЛАДА D</v>
      </c>
      <c r="U851" s="536"/>
      <c r="V851" s="536"/>
      <c r="W851" s="536"/>
    </row>
    <row r="852" spans="2:38" ht="14.25" customHeight="1">
      <c r="C852" s="244"/>
      <c r="D852" s="26"/>
      <c r="E852" s="26"/>
      <c r="F852" s="26"/>
      <c r="G852" s="26"/>
      <c r="H852" s="5"/>
    </row>
    <row r="853" spans="2:38" ht="14.25" customHeight="1">
      <c r="C853" s="244"/>
      <c r="D853" s="26"/>
      <c r="E853" s="26"/>
      <c r="F853" s="26"/>
      <c r="G853" s="26"/>
      <c r="H853" s="5"/>
    </row>
    <row r="854" spans="2:38" ht="14.25" customHeight="1">
      <c r="C854" s="244"/>
      <c r="D854" s="26"/>
      <c r="E854" s="26"/>
      <c r="F854" s="26"/>
      <c r="G854" s="26"/>
      <c r="H854" s="5"/>
    </row>
    <row r="855" spans="2:38" ht="14.25" customHeight="1">
      <c r="C855" s="244"/>
      <c r="D855" s="26"/>
      <c r="E855" s="26"/>
      <c r="F855" s="26"/>
      <c r="G855" s="26"/>
      <c r="H855" s="5"/>
    </row>
    <row r="856" spans="2:38" ht="14.25" customHeight="1">
      <c r="C856" s="244"/>
      <c r="D856" s="26"/>
      <c r="E856" s="26"/>
      <c r="F856" s="26"/>
      <c r="G856" s="26"/>
      <c r="H856" s="5"/>
    </row>
    <row r="857" spans="2:38" ht="14.25" customHeight="1">
      <c r="C857" s="244"/>
      <c r="D857" s="26"/>
      <c r="E857" s="26"/>
      <c r="F857" s="26"/>
      <c r="G857" s="26"/>
      <c r="H857" s="5"/>
    </row>
    <row r="858" spans="2:38" ht="14.25" customHeight="1">
      <c r="C858" s="244"/>
      <c r="D858" s="26"/>
      <c r="E858" s="26"/>
      <c r="F858" s="26"/>
      <c r="G858" s="26"/>
      <c r="H858" s="5"/>
    </row>
    <row r="859" spans="2:38" ht="14.25" customHeight="1">
      <c r="C859" s="244"/>
      <c r="D859" s="26"/>
      <c r="E859" s="26"/>
      <c r="F859" s="26"/>
      <c r="G859" s="26"/>
      <c r="H859" s="5"/>
    </row>
    <row r="860" spans="2:38" ht="14.25" customHeight="1">
      <c r="C860" s="244"/>
      <c r="D860" s="26"/>
      <c r="E860" s="26"/>
      <c r="F860" s="26"/>
      <c r="G860" s="26"/>
      <c r="H860" s="5"/>
    </row>
    <row r="861" spans="2:38" ht="14.25" customHeight="1">
      <c r="C861" s="244"/>
      <c r="D861" s="26"/>
      <c r="E861" s="26"/>
      <c r="F861" s="26"/>
      <c r="G861" s="26"/>
      <c r="H861" s="5"/>
    </row>
    <row r="862" spans="2:38" ht="14.25" customHeight="1">
      <c r="C862" s="244"/>
      <c r="D862" s="26"/>
      <c r="E862" s="26"/>
      <c r="F862" s="26"/>
      <c r="G862" s="26"/>
      <c r="H862" s="5"/>
    </row>
    <row r="863" spans="2:38" ht="14.25" customHeight="1">
      <c r="C863" s="244"/>
      <c r="D863" s="26"/>
      <c r="E863" s="26"/>
      <c r="F863" s="26"/>
      <c r="G863" s="26"/>
      <c r="H863" s="5"/>
    </row>
    <row r="864" spans="2:38" ht="14.25" customHeight="1">
      <c r="C864" s="244"/>
      <c r="D864" s="26"/>
      <c r="E864" s="26"/>
      <c r="F864" s="26"/>
      <c r="G864" s="26"/>
      <c r="H864" s="5"/>
    </row>
    <row r="865" spans="3:8" ht="14.25" customHeight="1">
      <c r="C865" s="244"/>
      <c r="D865" s="26"/>
      <c r="E865" s="26"/>
      <c r="F865" s="26"/>
      <c r="G865" s="26"/>
      <c r="H865" s="5"/>
    </row>
    <row r="866" spans="3:8" ht="14.25" customHeight="1">
      <c r="C866" s="244"/>
      <c r="D866" s="26"/>
      <c r="E866" s="26"/>
      <c r="F866" s="26"/>
      <c r="G866" s="26"/>
      <c r="H866" s="5"/>
    </row>
    <row r="867" spans="3:8" ht="14.25" customHeight="1">
      <c r="C867" s="244"/>
      <c r="D867" s="26"/>
      <c r="E867" s="26"/>
      <c r="F867" s="26"/>
      <c r="G867" s="26"/>
      <c r="H867" s="5"/>
    </row>
    <row r="868" spans="3:8" ht="14.25" customHeight="1">
      <c r="C868" s="244"/>
      <c r="D868" s="26"/>
      <c r="E868" s="26"/>
      <c r="F868" s="26"/>
      <c r="G868" s="26"/>
      <c r="H868" s="5"/>
    </row>
    <row r="869" spans="3:8" ht="14.25" customHeight="1">
      <c r="C869" s="244"/>
      <c r="D869" s="26"/>
      <c r="E869" s="26"/>
      <c r="F869" s="26"/>
      <c r="G869" s="26"/>
      <c r="H869" s="5"/>
    </row>
    <row r="870" spans="3:8" ht="14.25" customHeight="1">
      <c r="C870" s="244"/>
      <c r="D870" s="26"/>
      <c r="E870" s="26"/>
      <c r="F870" s="26"/>
      <c r="G870" s="26"/>
      <c r="H870" s="5"/>
    </row>
    <row r="871" spans="3:8" ht="14.25" customHeight="1">
      <c r="C871" s="244"/>
      <c r="D871" s="26"/>
      <c r="E871" s="26"/>
      <c r="F871" s="26"/>
      <c r="G871" s="26"/>
      <c r="H871" s="5"/>
    </row>
    <row r="872" spans="3:8" ht="14.25" customHeight="1">
      <c r="C872" s="244"/>
      <c r="D872" s="26"/>
      <c r="E872" s="26"/>
      <c r="F872" s="26"/>
      <c r="G872" s="26"/>
      <c r="H872" s="5"/>
    </row>
    <row r="873" spans="3:8" ht="14.25" customHeight="1">
      <c r="C873" s="244"/>
      <c r="D873" s="26"/>
      <c r="E873" s="26"/>
      <c r="F873" s="26"/>
      <c r="G873" s="26"/>
      <c r="H873" s="5"/>
    </row>
    <row r="874" spans="3:8" ht="14.25" customHeight="1">
      <c r="C874" s="244"/>
      <c r="D874" s="26"/>
      <c r="E874" s="26"/>
      <c r="F874" s="26"/>
      <c r="G874" s="26"/>
      <c r="H874" s="5"/>
    </row>
    <row r="875" spans="3:8" ht="14.25" customHeight="1">
      <c r="C875" s="244"/>
      <c r="D875" s="26"/>
      <c r="E875" s="26"/>
      <c r="F875" s="26"/>
      <c r="G875" s="26"/>
      <c r="H875" s="5"/>
    </row>
    <row r="876" spans="3:8" ht="14.25" customHeight="1">
      <c r="C876" s="244"/>
      <c r="D876" s="26"/>
      <c r="E876" s="26"/>
      <c r="F876" s="26"/>
      <c r="G876" s="26"/>
      <c r="H876" s="5"/>
    </row>
    <row r="877" spans="3:8" ht="14.25" customHeight="1">
      <c r="C877" s="244"/>
      <c r="D877" s="26"/>
      <c r="E877" s="26"/>
      <c r="F877" s="26"/>
      <c r="G877" s="26"/>
      <c r="H877" s="5"/>
    </row>
    <row r="878" spans="3:8" ht="14.25" customHeight="1">
      <c r="C878" s="244"/>
      <c r="D878" s="26"/>
      <c r="E878" s="26"/>
      <c r="F878" s="26"/>
      <c r="G878" s="26"/>
      <c r="H878" s="5"/>
    </row>
    <row r="879" spans="3:8" ht="14.25" customHeight="1">
      <c r="C879" s="244"/>
      <c r="D879" s="26"/>
      <c r="E879" s="26"/>
      <c r="F879" s="26"/>
      <c r="G879" s="26"/>
      <c r="H879" s="5"/>
    </row>
    <row r="880" spans="3:8" ht="14.25" customHeight="1">
      <c r="C880" s="244"/>
      <c r="D880" s="26"/>
      <c r="E880" s="26"/>
      <c r="F880" s="26"/>
      <c r="G880" s="26"/>
      <c r="H880" s="5"/>
    </row>
    <row r="881" spans="3:8" ht="14.25" customHeight="1">
      <c r="C881" s="244"/>
      <c r="D881" s="26"/>
      <c r="E881" s="26"/>
      <c r="F881" s="26"/>
      <c r="G881" s="26"/>
      <c r="H881" s="5"/>
    </row>
    <row r="882" spans="3:8" ht="14.25" customHeight="1">
      <c r="C882" s="244"/>
      <c r="D882" s="26"/>
      <c r="E882" s="26"/>
      <c r="F882" s="26"/>
      <c r="G882" s="26"/>
      <c r="H882" s="5"/>
    </row>
    <row r="883" spans="3:8" ht="14.25" customHeight="1">
      <c r="C883" s="244"/>
      <c r="D883" s="26"/>
      <c r="E883" s="26"/>
      <c r="F883" s="26"/>
      <c r="G883" s="26"/>
      <c r="H883" s="5"/>
    </row>
    <row r="884" spans="3:8" ht="14.25" customHeight="1">
      <c r="C884" s="244"/>
      <c r="D884" s="26"/>
      <c r="E884" s="26"/>
      <c r="F884" s="26"/>
      <c r="G884" s="26"/>
      <c r="H884" s="5"/>
    </row>
    <row r="885" spans="3:8" ht="14.25" customHeight="1">
      <c r="C885" s="244"/>
      <c r="D885" s="26"/>
      <c r="E885" s="26"/>
      <c r="F885" s="26"/>
      <c r="G885" s="26"/>
      <c r="H885" s="5"/>
    </row>
    <row r="886" spans="3:8" ht="14.25" customHeight="1">
      <c r="C886" s="244"/>
      <c r="D886" s="26"/>
      <c r="E886" s="26"/>
      <c r="F886" s="26"/>
      <c r="G886" s="26"/>
      <c r="H886" s="5"/>
    </row>
    <row r="887" spans="3:8" ht="14.25" customHeight="1">
      <c r="C887" s="244"/>
      <c r="D887" s="26"/>
      <c r="E887" s="26"/>
      <c r="F887" s="26"/>
      <c r="G887" s="26"/>
      <c r="H887" s="5"/>
    </row>
    <row r="888" spans="3:8" ht="14.25" customHeight="1">
      <c r="C888" s="244"/>
      <c r="D888" s="26"/>
      <c r="E888" s="26"/>
      <c r="F888" s="26"/>
      <c r="G888" s="26"/>
      <c r="H888" s="5"/>
    </row>
    <row r="889" spans="3:8" ht="14.25" customHeight="1">
      <c r="C889" s="244"/>
      <c r="D889" s="26"/>
      <c r="E889" s="26"/>
      <c r="F889" s="26"/>
      <c r="G889" s="26"/>
      <c r="H889" s="5"/>
    </row>
    <row r="890" spans="3:8" ht="14.25" customHeight="1">
      <c r="C890" s="244"/>
      <c r="D890" s="26"/>
      <c r="E890" s="26"/>
      <c r="F890" s="26"/>
      <c r="G890" s="26"/>
      <c r="H890" s="5"/>
    </row>
    <row r="891" spans="3:8" ht="14.25" customHeight="1">
      <c r="C891" s="244"/>
      <c r="D891" s="26"/>
      <c r="E891" s="26"/>
      <c r="F891" s="26"/>
      <c r="G891" s="26"/>
      <c r="H891" s="5"/>
    </row>
    <row r="892" spans="3:8" ht="14.25" customHeight="1">
      <c r="C892" s="244"/>
      <c r="D892" s="26"/>
      <c r="E892" s="26"/>
      <c r="F892" s="26"/>
      <c r="G892" s="26"/>
      <c r="H892" s="5"/>
    </row>
    <row r="893" spans="3:8" ht="14.25" customHeight="1">
      <c r="C893" s="244"/>
      <c r="D893" s="26"/>
      <c r="E893" s="26"/>
      <c r="F893" s="26"/>
      <c r="G893" s="26"/>
      <c r="H893" s="5"/>
    </row>
    <row r="894" spans="3:8" ht="14.25" customHeight="1">
      <c r="C894" s="244"/>
      <c r="D894" s="26"/>
      <c r="E894" s="26"/>
      <c r="F894" s="26"/>
      <c r="G894" s="26"/>
      <c r="H894" s="5"/>
    </row>
    <row r="895" spans="3:8" ht="14.25" customHeight="1">
      <c r="C895" s="244"/>
      <c r="D895" s="26"/>
      <c r="E895" s="26"/>
      <c r="F895" s="26"/>
      <c r="G895" s="26"/>
      <c r="H895" s="5"/>
    </row>
    <row r="896" spans="3:8" ht="14.25" customHeight="1">
      <c r="C896" s="244"/>
      <c r="D896" s="26"/>
      <c r="E896" s="26"/>
      <c r="F896" s="26"/>
      <c r="G896" s="26"/>
      <c r="H896" s="5"/>
    </row>
    <row r="897" spans="1:46" ht="14.25" customHeight="1">
      <c r="C897" s="244"/>
      <c r="D897" s="26"/>
      <c r="E897" s="26"/>
      <c r="F897" s="26"/>
      <c r="G897" s="26"/>
      <c r="H897" s="5"/>
    </row>
    <row r="898" spans="1:46" ht="14.25" customHeight="1">
      <c r="C898" s="244"/>
      <c r="D898" s="26"/>
      <c r="E898" s="26"/>
      <c r="F898" s="26"/>
      <c r="G898" s="26"/>
      <c r="H898" s="5"/>
    </row>
    <row r="899" spans="1:46" ht="14.25" customHeight="1">
      <c r="C899" s="244"/>
      <c r="D899" s="26"/>
      <c r="E899" s="26"/>
      <c r="F899" s="26"/>
      <c r="G899" s="26"/>
      <c r="H899" s="5"/>
    </row>
    <row r="900" spans="1:46" ht="14.25" customHeight="1">
      <c r="C900" s="244"/>
      <c r="D900" s="26"/>
      <c r="E900" s="26"/>
      <c r="F900" s="26"/>
      <c r="G900" s="26"/>
      <c r="H900" s="5"/>
    </row>
    <row r="901" spans="1:46" s="8" customFormat="1">
      <c r="B901" s="550" t="str">
        <f>TITLE!C21</f>
        <v>Полотна збірні: ЛАДА D</v>
      </c>
      <c r="C901" s="550"/>
      <c r="D901" s="117"/>
      <c r="E901" s="117"/>
      <c r="F901" s="117"/>
      <c r="G901" s="117"/>
      <c r="H901" s="552"/>
      <c r="I901" s="552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544" t="str">
        <f>IF($C$1="ENG",CONCATENATE("up to: ",B829),CONCATENATE("вгору до: ",B829))</f>
        <v>вгору до: Полотна збірні: ЛАДА C</v>
      </c>
      <c r="U901" s="544"/>
      <c r="V901" s="544"/>
      <c r="W901" s="544"/>
      <c r="AN901" s="279"/>
      <c r="AO901" s="279"/>
      <c r="AP901" s="279"/>
      <c r="AQ901" s="279"/>
      <c r="AR901" s="279"/>
      <c r="AS901" s="279"/>
      <c r="AT901" s="279"/>
    </row>
    <row r="902" spans="1:46" s="8" customFormat="1" ht="5.0999999999999996" customHeight="1">
      <c r="B902" s="116"/>
      <c r="C902" s="418"/>
      <c r="D902" s="9"/>
      <c r="E902" s="9"/>
      <c r="F902" s="9"/>
      <c r="G902" s="9"/>
      <c r="H902" s="119"/>
      <c r="I902" s="119"/>
      <c r="T902" s="114"/>
      <c r="U902" s="114"/>
      <c r="V902" s="114"/>
      <c r="W902" s="114"/>
      <c r="AN902" s="279"/>
      <c r="AO902" s="279"/>
      <c r="AP902" s="279"/>
      <c r="AQ902" s="279"/>
      <c r="AR902" s="279"/>
      <c r="AS902" s="279"/>
      <c r="AT902" s="279"/>
    </row>
    <row r="903" spans="1:46" s="8" customFormat="1" ht="12.75" customHeight="1">
      <c r="B903" s="556" t="str">
        <f>IF($C$1="ENG","model","модель")</f>
        <v>модель</v>
      </c>
      <c r="C903" s="121" t="str">
        <f>IF($C$1="ENG","cover:","покриття:")</f>
        <v>покриття:</v>
      </c>
      <c r="D903" s="538" t="str">
        <f>IF($C$1="ENG","Verto-CELL","Verto-CELL")</f>
        <v>Verto-CELL</v>
      </c>
      <c r="E903" s="539"/>
      <c r="F903" s="538" t="str">
        <f>IF($C$1="ENG","UNI-MAT","UNI-MAT")</f>
        <v>UNI-MAT</v>
      </c>
      <c r="G903" s="539"/>
      <c r="H903" s="538" t="str">
        <f>IF($C$1="ENG","RESIST","RESIST")</f>
        <v>RESIST</v>
      </c>
      <c r="I903" s="539"/>
      <c r="J903" s="538" t="str">
        <f>IF($C$1="ENG","Verto LINE-3D","Verto LINE-3D")</f>
        <v>Verto LINE-3D</v>
      </c>
      <c r="K903" s="539"/>
      <c r="L903" s="538" t="str">
        <f>IF($C$1="ENG","ECO Shpon","ЕКО Шпон")</f>
        <v>ЕКО Шпон</v>
      </c>
      <c r="M903" s="539"/>
      <c r="P903" s="1"/>
      <c r="Q903" s="1"/>
      <c r="T903" s="114"/>
      <c r="U903" s="114"/>
      <c r="V903" s="114"/>
      <c r="W903" s="114"/>
      <c r="AN903" s="279"/>
      <c r="AO903" s="279"/>
      <c r="AP903" s="279"/>
      <c r="AQ903" s="279"/>
      <c r="AR903" s="279"/>
      <c r="AS903" s="279"/>
      <c r="AT903" s="279"/>
    </row>
    <row r="904" spans="1:46" s="8" customFormat="1" ht="24.75" customHeight="1">
      <c r="B904" s="557"/>
      <c r="C904" s="122" t="str">
        <f>IF($C$1="ENG","filling:","заповнення:")</f>
        <v>заповнення:</v>
      </c>
      <c r="D904" s="540" t="str">
        <f>IF($C$1="ENG","softwood","клеєний сосновий брус")</f>
        <v>клеєний сосновий брус</v>
      </c>
      <c r="E904" s="541"/>
      <c r="F904" s="540" t="str">
        <f>IF($C$1="ENG","softwood","клеєний сосновий брус")</f>
        <v>клеєний сосновий брус</v>
      </c>
      <c r="G904" s="541"/>
      <c r="H904" s="540" t="str">
        <f>IF($C$1="ENG","softwood","клеєний сосновий брус")</f>
        <v>клеєний сосновий брус</v>
      </c>
      <c r="I904" s="541"/>
      <c r="J904" s="540" t="str">
        <f>IF($C$1="ENG","softwood","клеєний сосновий брус")</f>
        <v>клеєний сосновий брус</v>
      </c>
      <c r="K904" s="541"/>
      <c r="L904" s="540" t="str">
        <f>IF($C$1="ENG","softwood","клеєний сосновий брус")</f>
        <v>клеєний сосновий брус</v>
      </c>
      <c r="M904" s="541"/>
      <c r="P904" s="1"/>
      <c r="Q904" s="1"/>
      <c r="T904" s="114"/>
      <c r="U904" s="114"/>
      <c r="V904" s="114"/>
      <c r="W904" s="114"/>
      <c r="AD904" s="381">
        <f>AD906/AC906-1</f>
        <v>0.13991163475699553</v>
      </c>
      <c r="AE904" s="381">
        <f>AE906/AD906-1</f>
        <v>4.0051679586563305E-2</v>
      </c>
      <c r="AF904" s="381">
        <f>AF906/AE906-1</f>
        <v>8.9440993788819867E-2</v>
      </c>
      <c r="AG904" s="381">
        <f>AG906/AF906-1</f>
        <v>4.7890535917902044E-2</v>
      </c>
      <c r="AN904" s="279"/>
      <c r="AO904" s="279"/>
      <c r="AP904" s="279"/>
      <c r="AQ904" s="279"/>
      <c r="AR904" s="279"/>
      <c r="AS904" s="279"/>
      <c r="AT904" s="279"/>
    </row>
    <row r="905" spans="1:46" ht="12.75" customHeight="1">
      <c r="A905" s="8"/>
      <c r="B905" s="558"/>
      <c r="C905" s="123" t="str">
        <f>IF($C$1="ENG","glazing:","скління:")</f>
        <v>скління:</v>
      </c>
      <c r="D905" s="542" t="str">
        <f>IF($C$1="ENG","Satin","Сатин")</f>
        <v>Сатин</v>
      </c>
      <c r="E905" s="543"/>
      <c r="F905" s="542" t="str">
        <f>IF($C$1="ENG","Satin","Сатин")</f>
        <v>Сатин</v>
      </c>
      <c r="G905" s="543"/>
      <c r="H905" s="542" t="str">
        <f>IF($C$1="ENG","Satin","Сатин")</f>
        <v>Сатин</v>
      </c>
      <c r="I905" s="543"/>
      <c r="J905" s="542" t="str">
        <f>IF($C$1="ENG","Satin","Сатин")</f>
        <v>Сатин</v>
      </c>
      <c r="K905" s="543"/>
      <c r="L905" s="542" t="str">
        <f>IF($C$1="ENG","Satin","Сатин")</f>
        <v>Сатин</v>
      </c>
      <c r="M905" s="543"/>
    </row>
    <row r="906" spans="1:46" ht="35.1" customHeight="1">
      <c r="A906" s="8"/>
      <c r="B906" s="16" t="s">
        <v>35</v>
      </c>
      <c r="C906" s="17"/>
      <c r="D906" s="18">
        <f>IF(AC906="","",(1-$W$2)*(AC906/1.2))</f>
        <v>5658.3333333333339</v>
      </c>
      <c r="E906" s="66">
        <f>IF($W$5=0.2,D906*1.2,D906)/$W$4</f>
        <v>6790.0000000000009</v>
      </c>
      <c r="F906" s="18">
        <f>IF(AD906="","",(1-$W$2)*(AD906/1.2))</f>
        <v>6450</v>
      </c>
      <c r="G906" s="66">
        <f>IF($W$5=0.2,F906*1.2,F906)/$W$4</f>
        <v>7740</v>
      </c>
      <c r="H906" s="18">
        <f>IF(AE906="","",(1-$W$2)*(AE906/1.2))</f>
        <v>6708.3333333333339</v>
      </c>
      <c r="I906" s="66">
        <f>IF($W$5=0.2,H906*1.2,H906)/$W$4</f>
        <v>8050</v>
      </c>
      <c r="J906" s="18">
        <f>IF(AF906="","",(1-$W$2)*(AF906/1.2))</f>
        <v>7308.3333333333339</v>
      </c>
      <c r="K906" s="66">
        <f>IF($W$5=0.2,J906*1.2,J906)/$W$4</f>
        <v>8770</v>
      </c>
      <c r="L906" s="18">
        <f>IF(AG906="","",(1-$W$2)*(AG906/1.2))</f>
        <v>7658.3333333333339</v>
      </c>
      <c r="M906" s="66">
        <f>IF($W$5=0.2,L906*1.2,L906)/$W$4</f>
        <v>9190</v>
      </c>
      <c r="N906" s="103"/>
      <c r="R906" s="103"/>
      <c r="T906" s="103"/>
      <c r="U906" s="20"/>
      <c r="V906" s="103"/>
      <c r="W906" s="20"/>
      <c r="X906" s="103"/>
      <c r="Y906" s="103"/>
      <c r="Z906" s="103"/>
      <c r="AA906" s="103"/>
      <c r="AB906" s="103"/>
      <c r="AC906" s="331">
        <v>6790</v>
      </c>
      <c r="AD906" s="389">
        <v>7740</v>
      </c>
      <c r="AE906" s="331">
        <v>8050</v>
      </c>
      <c r="AF906" s="331">
        <v>8770</v>
      </c>
      <c r="AG906" s="331">
        <v>9190</v>
      </c>
      <c r="AH906" s="288">
        <v>6790</v>
      </c>
      <c r="AI906" s="288">
        <f>AH906/AC906-1</f>
        <v>0</v>
      </c>
      <c r="AJ906" s="288">
        <v>7740</v>
      </c>
      <c r="AK906" s="288">
        <f>AJ906/AD906-1</f>
        <v>0</v>
      </c>
      <c r="AL906" s="288">
        <v>8050</v>
      </c>
      <c r="AM906" s="1">
        <f>AL906/AE906-1</f>
        <v>0</v>
      </c>
      <c r="AN906" s="30">
        <v>8770</v>
      </c>
      <c r="AO906" s="1">
        <f>AN906/AF906-1</f>
        <v>0</v>
      </c>
      <c r="AP906" s="1">
        <v>9190</v>
      </c>
      <c r="AQ906" s="1">
        <f>AP906/AG906-1</f>
        <v>0</v>
      </c>
    </row>
    <row r="907" spans="1:46" ht="35.1" customHeight="1">
      <c r="A907" s="8"/>
      <c r="B907" s="23" t="s">
        <v>28</v>
      </c>
      <c r="C907" s="24"/>
      <c r="D907" s="25">
        <f>IF(AC907="","",(1-$W$2)*(AC907/1.2))</f>
        <v>5608.3333333333339</v>
      </c>
      <c r="E907" s="69">
        <f>IF($W$5=0.2,D907*1.2,D907)/$W$4</f>
        <v>6730.0000000000009</v>
      </c>
      <c r="F907" s="25">
        <f>IF(AD907="","",(1-$W$2)*(AD907/1.2))</f>
        <v>6391.666666666667</v>
      </c>
      <c r="G907" s="69">
        <f>IF($W$5=0.2,F907*1.2,F907)/$W$4</f>
        <v>7670</v>
      </c>
      <c r="H907" s="25">
        <f>IF(AE907="","",(1-$W$2)*(AE907/1.2))</f>
        <v>6675</v>
      </c>
      <c r="I907" s="69">
        <f>IF($W$5=0.2,H907*1.2,H907)/$W$4</f>
        <v>8010</v>
      </c>
      <c r="J907" s="25">
        <f>IF(AF907="","",(1-$W$2)*(AF907/1.2))</f>
        <v>7208.3333333333339</v>
      </c>
      <c r="K907" s="69">
        <f>IF($W$5=0.2,J907*1.2,J907)/$W$4</f>
        <v>8650</v>
      </c>
      <c r="L907" s="25">
        <f>IF(AG907="","",(1-$W$2)*(AG907/1.2))</f>
        <v>7641.666666666667</v>
      </c>
      <c r="M907" s="69">
        <f>IF($W$5=0.2,L907*1.2,L907)/$W$4</f>
        <v>9170</v>
      </c>
      <c r="N907" s="103"/>
      <c r="R907" s="103"/>
      <c r="T907" s="103"/>
      <c r="U907" s="20"/>
      <c r="V907" s="103"/>
      <c r="W907" s="20"/>
      <c r="X907" s="103"/>
      <c r="Y907" s="103"/>
      <c r="Z907" s="103"/>
      <c r="AA907" s="103"/>
      <c r="AB907" s="103"/>
      <c r="AC907" s="331">
        <v>6730</v>
      </c>
      <c r="AD907" s="389">
        <v>7670</v>
      </c>
      <c r="AE907" s="331">
        <v>8010</v>
      </c>
      <c r="AF907" s="331">
        <v>8650</v>
      </c>
      <c r="AG907" s="331">
        <v>9170</v>
      </c>
      <c r="AH907" s="288">
        <v>6730</v>
      </c>
      <c r="AI907" s="288">
        <f>AH907/AC907-1</f>
        <v>0</v>
      </c>
      <c r="AJ907" s="288">
        <v>7670</v>
      </c>
      <c r="AK907" s="288">
        <f>AJ907/AD907-1</f>
        <v>0</v>
      </c>
      <c r="AL907" s="288">
        <v>8010</v>
      </c>
      <c r="AM907" s="1">
        <f>AL907/AE907-1</f>
        <v>0</v>
      </c>
      <c r="AN907" s="30">
        <v>8650</v>
      </c>
      <c r="AO907" s="1">
        <f>AN907/AF907-1</f>
        <v>0</v>
      </c>
      <c r="AP907" s="1">
        <v>9170</v>
      </c>
      <c r="AQ907" s="1">
        <f>AP907/AG907-1</f>
        <v>0</v>
      </c>
    </row>
    <row r="908" spans="1:46">
      <c r="C908" s="244"/>
      <c r="D908" s="26"/>
      <c r="E908" s="57"/>
      <c r="F908" s="26"/>
      <c r="G908" s="57"/>
      <c r="H908" s="10"/>
      <c r="I908" s="8"/>
      <c r="J908" s="8"/>
      <c r="K908" s="8"/>
    </row>
    <row r="909" spans="1:46">
      <c r="B909" s="211" t="str">
        <f>IF($C$1="ENG","For additonal charge:","Послуги за додаткову плату:")</f>
        <v>Послуги за додаткову плату:</v>
      </c>
      <c r="C909" s="419"/>
      <c r="D909" s="212"/>
      <c r="E909" s="213"/>
      <c r="F909" s="26"/>
      <c r="G909" s="57"/>
      <c r="H909" s="10"/>
      <c r="I909" s="8"/>
      <c r="J909" s="8"/>
      <c r="K909" s="8"/>
    </row>
    <row r="910" spans="1:46" ht="5.0999999999999996" customHeight="1">
      <c r="B910" s="27"/>
      <c r="C910" s="244"/>
      <c r="D910" s="26"/>
      <c r="E910" s="57"/>
      <c r="F910" s="26"/>
      <c r="G910" s="57"/>
      <c r="H910" s="10"/>
      <c r="I910" s="8"/>
      <c r="J910" s="8"/>
      <c r="K910" s="8"/>
    </row>
    <row r="911" spans="1:46">
      <c r="B911" s="561" t="str">
        <f>IF($C$1="ENG","door leaf with width 100","полотно розміром 100")</f>
        <v>полотно розміром 100</v>
      </c>
      <c r="C911" s="562"/>
      <c r="D911" s="408">
        <f t="shared" ref="D911:D923" si="133">IF(AC911="","",(1-$W$2)*(AC911/1.2))</f>
        <v>600</v>
      </c>
      <c r="E911" s="91">
        <f t="shared" ref="E911:E922" si="134">IF($W$5=0.2,D911*1.2,D911)/$W$4</f>
        <v>720</v>
      </c>
      <c r="F911" s="26"/>
      <c r="G911" s="26"/>
      <c r="H911" s="10"/>
      <c r="I911" s="8"/>
      <c r="J911" s="8"/>
      <c r="K911" s="8"/>
      <c r="AC911" s="297">
        <v>720</v>
      </c>
      <c r="AD911" s="297">
        <v>720</v>
      </c>
      <c r="AE911" s="288">
        <f>AD911/AC911-1</f>
        <v>0</v>
      </c>
      <c r="AF911" s="288"/>
      <c r="AG911" s="288"/>
      <c r="AH911" s="288"/>
      <c r="AI911" s="288"/>
      <c r="AJ911" s="288"/>
      <c r="AK911" s="288"/>
      <c r="AL911" s="288"/>
    </row>
    <row r="912" spans="1:46">
      <c r="B912" s="561" t="str">
        <f>IF($C$1="ENG","Ventilation cut","вентиляційний підріз")</f>
        <v>вентиляційний підріз</v>
      </c>
      <c r="C912" s="562"/>
      <c r="D912" s="403">
        <f t="shared" si="133"/>
        <v>141.66666666666669</v>
      </c>
      <c r="E912" s="66">
        <f t="shared" si="134"/>
        <v>170.00000000000003</v>
      </c>
      <c r="F912" s="26"/>
      <c r="G912" s="26"/>
      <c r="I912" s="59"/>
      <c r="J912" s="28"/>
      <c r="AC912" s="297">
        <v>170</v>
      </c>
      <c r="AD912" s="297">
        <v>170</v>
      </c>
      <c r="AE912" s="288">
        <f t="shared" ref="AE912:AE922" si="135">AD912/AC912-1</f>
        <v>0</v>
      </c>
      <c r="AF912" s="288"/>
      <c r="AG912" s="288"/>
      <c r="AH912" s="288"/>
      <c r="AI912" s="288"/>
      <c r="AJ912" s="288"/>
      <c r="AK912" s="288"/>
      <c r="AL912" s="288"/>
    </row>
    <row r="913" spans="2:38">
      <c r="B913" s="554" t="str">
        <f>IF($C$1="ENG","glazing Graphite / Bronze","скло Графіт / Бронза")</f>
        <v>скло Графіт / Бронза</v>
      </c>
      <c r="C913" s="555"/>
      <c r="D913" s="405">
        <f t="shared" si="133"/>
        <v>458.33333333333337</v>
      </c>
      <c r="E913" s="92">
        <f t="shared" si="134"/>
        <v>550</v>
      </c>
      <c r="F913" s="26"/>
      <c r="G913" s="26"/>
      <c r="H913" s="5"/>
      <c r="AC913" s="297">
        <v>550</v>
      </c>
      <c r="AD913" s="297">
        <v>550</v>
      </c>
      <c r="AE913" s="288">
        <f t="shared" si="135"/>
        <v>0</v>
      </c>
      <c r="AF913" s="288"/>
      <c r="AG913" s="288"/>
      <c r="AH913" s="288"/>
      <c r="AI913" s="288"/>
      <c r="AJ913" s="288"/>
      <c r="AK913" s="288"/>
      <c r="AL913" s="288"/>
    </row>
    <row r="914" spans="2:38">
      <c r="B914" s="554" t="str">
        <f>IF($C$1="ENG","glazing Lacobel black ","скло Lacobel чорне")</f>
        <v>скло Lacobel чорне</v>
      </c>
      <c r="C914" s="555"/>
      <c r="D914" s="405">
        <f t="shared" si="133"/>
        <v>458.33333333333337</v>
      </c>
      <c r="E914" s="92">
        <f>IF($W$5=0.2,D914*1.2,D914)/$W$4</f>
        <v>550</v>
      </c>
      <c r="F914" s="26"/>
      <c r="G914" s="26"/>
      <c r="H914" s="5"/>
      <c r="AC914" s="297">
        <v>550</v>
      </c>
      <c r="AD914" s="297">
        <v>550</v>
      </c>
      <c r="AE914" s="288"/>
      <c r="AF914" s="288"/>
      <c r="AG914" s="288"/>
      <c r="AH914" s="288"/>
      <c r="AI914" s="288"/>
      <c r="AJ914" s="288"/>
      <c r="AK914" s="288"/>
      <c r="AL914" s="288"/>
    </row>
    <row r="915" spans="2:38">
      <c r="B915" s="554" t="str">
        <f>IF($C$1="ENG","door lock Soft","замок Soft")</f>
        <v>замок Soft</v>
      </c>
      <c r="C915" s="555"/>
      <c r="D915" s="405">
        <f t="shared" si="133"/>
        <v>458.33333333333337</v>
      </c>
      <c r="E915" s="92">
        <f t="shared" si="134"/>
        <v>550</v>
      </c>
      <c r="F915" s="26"/>
      <c r="G915" s="26"/>
      <c r="H915" s="5"/>
      <c r="AC915" s="297">
        <v>550</v>
      </c>
      <c r="AD915" s="297">
        <v>550</v>
      </c>
      <c r="AE915" s="288">
        <f t="shared" si="135"/>
        <v>0</v>
      </c>
      <c r="AF915" s="288"/>
      <c r="AG915" s="288"/>
      <c r="AH915" s="288"/>
      <c r="AI915" s="288"/>
      <c r="AJ915" s="288"/>
      <c r="AK915" s="288"/>
      <c r="AL915" s="288"/>
    </row>
    <row r="916" spans="2:38">
      <c r="B916" s="554" t="str">
        <f>IF($C$1="ENG","door lock Soft black","замок Soft чорн.")</f>
        <v>замок Soft чорн.</v>
      </c>
      <c r="C916" s="555"/>
      <c r="D916" s="405">
        <f t="shared" ref="D916" si="136">IF(AC916="","",(1-$W$2)*(AC916/1.2))</f>
        <v>566.66666666666674</v>
      </c>
      <c r="E916" s="92">
        <f t="shared" ref="E916" si="137">IF($W$5=0.2,D916*1.2,D916)/$W$4</f>
        <v>680.00000000000011</v>
      </c>
      <c r="F916" s="26"/>
      <c r="G916" s="26"/>
      <c r="H916" s="5"/>
      <c r="AC916" s="297">
        <v>680</v>
      </c>
      <c r="AD916" s="297"/>
      <c r="AE916" s="288"/>
      <c r="AF916" s="288"/>
      <c r="AG916" s="288"/>
      <c r="AH916" s="288"/>
      <c r="AI916" s="288"/>
      <c r="AJ916" s="288"/>
      <c r="AK916" s="288"/>
      <c r="AL916" s="288"/>
    </row>
    <row r="917" spans="2:38">
      <c r="B917" s="554" t="str">
        <f>IF($C$1="ENG","door lock Magnet","замок Magnet")</f>
        <v>замок Magnet</v>
      </c>
      <c r="C917" s="555"/>
      <c r="D917" s="405">
        <f t="shared" si="133"/>
        <v>666.66666666666674</v>
      </c>
      <c r="E917" s="92">
        <f t="shared" si="134"/>
        <v>800.00000000000011</v>
      </c>
      <c r="F917" s="26"/>
      <c r="G917" s="26"/>
      <c r="H917" s="5"/>
      <c r="AC917" s="297">
        <v>800</v>
      </c>
      <c r="AD917" s="297">
        <v>800</v>
      </c>
      <c r="AE917" s="288">
        <f t="shared" si="135"/>
        <v>0</v>
      </c>
      <c r="AF917" s="288"/>
      <c r="AG917" s="288"/>
      <c r="AH917" s="288"/>
      <c r="AI917" s="288"/>
      <c r="AJ917" s="288"/>
      <c r="AK917" s="288"/>
      <c r="AL917" s="288"/>
    </row>
    <row r="918" spans="2:38">
      <c r="B918" s="554" t="s">
        <v>66</v>
      </c>
      <c r="C918" s="555"/>
      <c r="D918" s="405">
        <f t="shared" si="133"/>
        <v>833.33333333333337</v>
      </c>
      <c r="E918" s="92">
        <f t="shared" si="134"/>
        <v>1000</v>
      </c>
      <c r="F918" s="26"/>
      <c r="G918" s="26"/>
      <c r="H918" s="5"/>
      <c r="AC918" s="297">
        <v>1000</v>
      </c>
      <c r="AD918" s="297"/>
      <c r="AE918" s="288"/>
      <c r="AF918" s="288"/>
      <c r="AG918" s="288"/>
      <c r="AH918" s="288"/>
      <c r="AI918" s="288"/>
      <c r="AJ918" s="288"/>
      <c r="AK918" s="288"/>
      <c r="AL918" s="288"/>
    </row>
    <row r="919" spans="2:38">
      <c r="B919" s="554" t="str">
        <f>IF($C$1="ENG","door handle-lock (for sliding doors)","ручка-замок (для дверей купе)")</f>
        <v>ручка-замок (для дверей купе)</v>
      </c>
      <c r="C919" s="555"/>
      <c r="D919" s="403">
        <f t="shared" si="133"/>
        <v>466.66666666666669</v>
      </c>
      <c r="E919" s="92">
        <f t="shared" si="134"/>
        <v>560</v>
      </c>
      <c r="F919" s="26"/>
      <c r="G919" s="26"/>
      <c r="I919" s="11"/>
      <c r="J919" s="11"/>
      <c r="K919" s="19"/>
      <c r="AC919" s="297">
        <v>560</v>
      </c>
      <c r="AD919" s="297">
        <v>560</v>
      </c>
      <c r="AE919" s="288">
        <f t="shared" si="135"/>
        <v>0</v>
      </c>
      <c r="AF919" s="288"/>
      <c r="AG919" s="288"/>
      <c r="AH919" s="288"/>
      <c r="AI919" s="288"/>
      <c r="AJ919" s="288"/>
      <c r="AK919" s="288"/>
      <c r="AL919" s="288"/>
    </row>
    <row r="920" spans="2:38">
      <c r="B920" s="554" t="str">
        <f>IF($C$1="ENG","cylinder incert","циліндр несиметричний")</f>
        <v>циліндр несиметричний</v>
      </c>
      <c r="C920" s="555"/>
      <c r="D920" s="403">
        <f t="shared" si="133"/>
        <v>325</v>
      </c>
      <c r="E920" s="92">
        <f t="shared" si="134"/>
        <v>390</v>
      </c>
      <c r="F920" s="26"/>
      <c r="G920" s="26"/>
      <c r="AC920" s="297">
        <v>390</v>
      </c>
      <c r="AD920" s="297">
        <v>390</v>
      </c>
      <c r="AE920" s="288">
        <f t="shared" si="135"/>
        <v>0</v>
      </c>
      <c r="AF920" s="288"/>
      <c r="AG920" s="288"/>
      <c r="AH920" s="288"/>
      <c r="AI920" s="288"/>
      <c r="AJ920" s="288"/>
      <c r="AK920" s="288"/>
      <c r="AL920" s="288"/>
    </row>
    <row r="921" spans="2:38">
      <c r="B921" s="554" t="str">
        <f>IF($C$1="ENG","door hindge Prestige (1 unit)","завіса Prestige (1 шт)")</f>
        <v>завіса Prestige (1 шт)</v>
      </c>
      <c r="C921" s="555"/>
      <c r="D921" s="406">
        <f t="shared" si="133"/>
        <v>216.66666666666669</v>
      </c>
      <c r="E921" s="92">
        <f t="shared" si="134"/>
        <v>260</v>
      </c>
      <c r="F921" s="26"/>
      <c r="G921" s="26"/>
      <c r="AC921" s="297">
        <v>260</v>
      </c>
      <c r="AD921" s="297">
        <v>260</v>
      </c>
      <c r="AE921" s="288">
        <f t="shared" si="135"/>
        <v>0</v>
      </c>
      <c r="AF921" s="288"/>
      <c r="AG921" s="288"/>
      <c r="AH921" s="288"/>
      <c r="AI921" s="288"/>
      <c r="AJ921" s="288"/>
      <c r="AK921" s="288"/>
      <c r="AL921" s="288"/>
    </row>
    <row r="922" spans="2:38">
      <c r="B922" s="554" t="str">
        <f>IF($C$1="ENG","door hinge caps (1 set)","накладка на завіси (1 к-т)")</f>
        <v>накладка на завіси (1 к-т)</v>
      </c>
      <c r="C922" s="555"/>
      <c r="D922" s="406">
        <f t="shared" si="133"/>
        <v>66.666666666666671</v>
      </c>
      <c r="E922" s="92">
        <f t="shared" si="134"/>
        <v>80</v>
      </c>
      <c r="F922" s="26"/>
      <c r="G922" s="26"/>
      <c r="AC922" s="297">
        <v>80</v>
      </c>
      <c r="AD922" s="297">
        <v>80</v>
      </c>
      <c r="AE922" s="288">
        <f t="shared" si="135"/>
        <v>0</v>
      </c>
      <c r="AF922" s="288"/>
      <c r="AG922" s="288"/>
      <c r="AH922" s="288"/>
      <c r="AI922" s="288"/>
      <c r="AJ922" s="288"/>
      <c r="AK922" s="288"/>
      <c r="AL922" s="288"/>
    </row>
    <row r="923" spans="2:38">
      <c r="B923" s="554" t="str">
        <f>IF($C$1="ENG","door handle","дверна ручка")</f>
        <v>дверна ручка</v>
      </c>
      <c r="C923" s="555"/>
      <c r="D923" s="407" t="str">
        <f t="shared" si="133"/>
        <v/>
      </c>
      <c r="E923" s="246" t="str">
        <f>IF($C$1="ENG","see Handles Price","див. Таблицю Ручки")</f>
        <v>див. Таблицю Ручки</v>
      </c>
      <c r="F923" s="26"/>
      <c r="G923" s="26"/>
      <c r="AC923" s="331"/>
      <c r="AD923" s="288"/>
      <c r="AE923" s="288"/>
      <c r="AF923" s="288"/>
      <c r="AG923" s="288"/>
      <c r="AH923" s="288"/>
      <c r="AI923" s="288"/>
      <c r="AJ923" s="288"/>
      <c r="AK923" s="288"/>
      <c r="AL923" s="288"/>
    </row>
    <row r="924" spans="2:38" ht="14.25" customHeight="1">
      <c r="C924" s="244"/>
      <c r="D924" s="26"/>
      <c r="E924" s="26"/>
      <c r="F924" s="26"/>
      <c r="G924" s="26"/>
      <c r="H924" s="5"/>
      <c r="T924" s="536" t="str">
        <f>IF($C$1="ENG",CONCATENATE("down to: ",B974),CONCATENATE("вниз до: ",B974))</f>
        <v>вниз до: Полотна збірні: НІКА</v>
      </c>
      <c r="U924" s="536"/>
      <c r="V924" s="536"/>
      <c r="W924" s="536"/>
    </row>
    <row r="925" spans="2:38" ht="14.25" customHeight="1">
      <c r="C925" s="244"/>
      <c r="D925" s="26"/>
      <c r="E925" s="26"/>
      <c r="F925" s="26"/>
      <c r="G925" s="26"/>
      <c r="H925" s="5"/>
    </row>
    <row r="926" spans="2:38" ht="14.25" customHeight="1">
      <c r="C926" s="244"/>
      <c r="D926" s="26"/>
      <c r="E926" s="26"/>
      <c r="F926" s="26"/>
      <c r="G926" s="26"/>
      <c r="H926" s="5"/>
    </row>
    <row r="927" spans="2:38" ht="14.25" customHeight="1">
      <c r="C927" s="244"/>
      <c r="D927" s="26"/>
      <c r="E927" s="26"/>
      <c r="F927" s="26"/>
      <c r="G927" s="26"/>
      <c r="H927" s="5"/>
    </row>
    <row r="928" spans="2:38" ht="14.25" customHeight="1">
      <c r="C928" s="244"/>
      <c r="D928" s="26"/>
      <c r="E928" s="26"/>
      <c r="F928" s="26"/>
      <c r="G928" s="26"/>
      <c r="H928" s="5"/>
    </row>
    <row r="929" spans="3:8" ht="14.25" customHeight="1">
      <c r="C929" s="244"/>
      <c r="D929" s="26"/>
      <c r="E929" s="26"/>
      <c r="F929" s="26"/>
      <c r="G929" s="26"/>
      <c r="H929" s="5"/>
    </row>
    <row r="930" spans="3:8" ht="14.25" customHeight="1">
      <c r="C930" s="244"/>
      <c r="D930" s="26"/>
      <c r="E930" s="26"/>
      <c r="F930" s="26"/>
      <c r="G930" s="26"/>
      <c r="H930" s="5"/>
    </row>
    <row r="931" spans="3:8" ht="14.25" customHeight="1">
      <c r="C931" s="244"/>
      <c r="D931" s="26"/>
      <c r="E931" s="26"/>
      <c r="F931" s="26"/>
      <c r="G931" s="26"/>
      <c r="H931" s="5"/>
    </row>
    <row r="932" spans="3:8" ht="14.25" customHeight="1">
      <c r="C932" s="244"/>
      <c r="D932" s="26"/>
      <c r="E932" s="26"/>
      <c r="F932" s="26"/>
      <c r="G932" s="26"/>
      <c r="H932" s="5"/>
    </row>
    <row r="933" spans="3:8" ht="14.25" customHeight="1">
      <c r="C933" s="244"/>
      <c r="D933" s="26"/>
      <c r="E933" s="26"/>
      <c r="F933" s="26"/>
      <c r="G933" s="26"/>
      <c r="H933" s="5"/>
    </row>
    <row r="934" spans="3:8" ht="14.25" customHeight="1">
      <c r="C934" s="244"/>
      <c r="D934" s="26"/>
      <c r="E934" s="26"/>
      <c r="F934" s="26"/>
      <c r="G934" s="26"/>
      <c r="H934" s="5"/>
    </row>
    <row r="935" spans="3:8" ht="14.25" customHeight="1">
      <c r="C935" s="244"/>
      <c r="D935" s="26"/>
      <c r="E935" s="26"/>
      <c r="F935" s="26"/>
      <c r="G935" s="26"/>
      <c r="H935" s="5"/>
    </row>
    <row r="936" spans="3:8" ht="14.25" customHeight="1">
      <c r="C936" s="244"/>
      <c r="D936" s="26"/>
      <c r="E936" s="26"/>
      <c r="F936" s="26"/>
      <c r="G936" s="26"/>
      <c r="H936" s="5"/>
    </row>
    <row r="937" spans="3:8" ht="14.25" customHeight="1">
      <c r="C937" s="244"/>
      <c r="D937" s="26"/>
      <c r="E937" s="26"/>
      <c r="F937" s="26"/>
      <c r="G937" s="26"/>
      <c r="H937" s="5"/>
    </row>
    <row r="938" spans="3:8" ht="14.25" customHeight="1">
      <c r="C938" s="244"/>
      <c r="D938" s="26"/>
      <c r="E938" s="26"/>
      <c r="F938" s="26"/>
      <c r="G938" s="26"/>
      <c r="H938" s="5"/>
    </row>
    <row r="939" spans="3:8" ht="14.25" customHeight="1">
      <c r="C939" s="244"/>
      <c r="D939" s="26"/>
      <c r="E939" s="26"/>
      <c r="F939" s="26"/>
      <c r="G939" s="26"/>
      <c r="H939" s="5"/>
    </row>
    <row r="940" spans="3:8" ht="14.25" customHeight="1">
      <c r="C940" s="244"/>
      <c r="D940" s="26"/>
      <c r="E940" s="26"/>
      <c r="F940" s="26"/>
      <c r="G940" s="26"/>
      <c r="H940" s="5"/>
    </row>
    <row r="941" spans="3:8" ht="14.25" customHeight="1">
      <c r="C941" s="244"/>
      <c r="D941" s="26"/>
      <c r="E941" s="26"/>
      <c r="F941" s="26"/>
      <c r="G941" s="26"/>
      <c r="H941" s="5"/>
    </row>
    <row r="942" spans="3:8" ht="14.25" customHeight="1">
      <c r="C942" s="244"/>
      <c r="D942" s="26"/>
      <c r="E942" s="26"/>
      <c r="F942" s="26"/>
      <c r="G942" s="26"/>
      <c r="H942" s="5"/>
    </row>
    <row r="943" spans="3:8" ht="14.25" customHeight="1">
      <c r="C943" s="244"/>
      <c r="D943" s="26"/>
      <c r="E943" s="26"/>
      <c r="F943" s="26"/>
      <c r="G943" s="26"/>
      <c r="H943" s="5"/>
    </row>
    <row r="944" spans="3:8" ht="14.25" customHeight="1">
      <c r="C944" s="244"/>
      <c r="D944" s="26"/>
      <c r="E944" s="26"/>
      <c r="F944" s="26"/>
      <c r="G944" s="26"/>
      <c r="H944" s="5"/>
    </row>
    <row r="945" spans="3:8" ht="14.25" customHeight="1">
      <c r="C945" s="244"/>
      <c r="D945" s="26"/>
      <c r="E945" s="26"/>
      <c r="F945" s="26"/>
      <c r="G945" s="26"/>
      <c r="H945" s="5"/>
    </row>
    <row r="946" spans="3:8" ht="14.25" customHeight="1">
      <c r="C946" s="244"/>
      <c r="D946" s="26"/>
      <c r="E946" s="26"/>
      <c r="F946" s="26"/>
      <c r="G946" s="26"/>
      <c r="H946" s="5"/>
    </row>
    <row r="947" spans="3:8" ht="14.25" customHeight="1">
      <c r="C947" s="244"/>
      <c r="D947" s="26"/>
      <c r="E947" s="26"/>
      <c r="F947" s="26"/>
      <c r="G947" s="26"/>
      <c r="H947" s="5"/>
    </row>
    <row r="948" spans="3:8" ht="14.25" customHeight="1">
      <c r="C948" s="244"/>
      <c r="D948" s="26"/>
      <c r="E948" s="26"/>
      <c r="F948" s="26"/>
      <c r="G948" s="26"/>
      <c r="H948" s="5"/>
    </row>
    <row r="949" spans="3:8" ht="14.25" customHeight="1">
      <c r="C949" s="244"/>
      <c r="D949" s="26"/>
      <c r="E949" s="26"/>
      <c r="F949" s="26"/>
      <c r="G949" s="26"/>
      <c r="H949" s="5"/>
    </row>
    <row r="950" spans="3:8" ht="14.25" customHeight="1">
      <c r="C950" s="244"/>
      <c r="D950" s="26"/>
      <c r="E950" s="26"/>
      <c r="F950" s="26"/>
      <c r="G950" s="26"/>
      <c r="H950" s="5"/>
    </row>
    <row r="951" spans="3:8" ht="14.25" customHeight="1">
      <c r="C951" s="244"/>
      <c r="D951" s="26"/>
      <c r="E951" s="26"/>
      <c r="F951" s="26"/>
      <c r="G951" s="26"/>
      <c r="H951" s="5"/>
    </row>
    <row r="952" spans="3:8" ht="14.25" customHeight="1">
      <c r="C952" s="244"/>
      <c r="D952" s="26"/>
      <c r="E952" s="26"/>
      <c r="F952" s="26"/>
      <c r="G952" s="26"/>
      <c r="H952" s="5"/>
    </row>
    <row r="953" spans="3:8" ht="14.25" customHeight="1">
      <c r="C953" s="244"/>
      <c r="D953" s="26"/>
      <c r="E953" s="26"/>
      <c r="F953" s="26"/>
      <c r="G953" s="26"/>
      <c r="H953" s="5"/>
    </row>
    <row r="954" spans="3:8" ht="14.25" customHeight="1">
      <c r="C954" s="244"/>
      <c r="D954" s="26"/>
      <c r="E954" s="26"/>
      <c r="F954" s="26"/>
      <c r="G954" s="26"/>
      <c r="H954" s="5"/>
    </row>
    <row r="955" spans="3:8" ht="14.25" customHeight="1">
      <c r="C955" s="244"/>
      <c r="D955" s="26"/>
      <c r="E955" s="26"/>
      <c r="F955" s="26"/>
      <c r="G955" s="26"/>
      <c r="H955" s="5"/>
    </row>
    <row r="956" spans="3:8" ht="14.25" customHeight="1">
      <c r="C956" s="244"/>
      <c r="D956" s="26"/>
      <c r="E956" s="26"/>
      <c r="F956" s="26"/>
      <c r="G956" s="26"/>
      <c r="H956" s="5"/>
    </row>
    <row r="957" spans="3:8" ht="14.25" customHeight="1">
      <c r="C957" s="244"/>
      <c r="D957" s="26"/>
      <c r="E957" s="26"/>
      <c r="F957" s="26"/>
      <c r="G957" s="26"/>
      <c r="H957" s="5"/>
    </row>
    <row r="958" spans="3:8" ht="14.25" customHeight="1">
      <c r="C958" s="244"/>
      <c r="D958" s="26"/>
      <c r="E958" s="26"/>
      <c r="F958" s="26"/>
      <c r="G958" s="26"/>
      <c r="H958" s="5"/>
    </row>
    <row r="959" spans="3:8" ht="14.25" customHeight="1">
      <c r="C959" s="244"/>
      <c r="D959" s="26"/>
      <c r="E959" s="26"/>
      <c r="F959" s="26"/>
      <c r="G959" s="26"/>
      <c r="H959" s="5"/>
    </row>
    <row r="960" spans="3:8" ht="14.25" customHeight="1">
      <c r="C960" s="244"/>
      <c r="D960" s="26"/>
      <c r="E960" s="26"/>
      <c r="F960" s="26"/>
      <c r="G960" s="26"/>
      <c r="H960" s="5"/>
    </row>
    <row r="961" spans="2:46" ht="14.25" customHeight="1">
      <c r="C961" s="244"/>
      <c r="D961" s="26"/>
      <c r="E961" s="26"/>
      <c r="F961" s="26"/>
      <c r="G961" s="26"/>
      <c r="H961" s="5"/>
    </row>
    <row r="962" spans="2:46" ht="14.25" customHeight="1">
      <c r="C962" s="244"/>
      <c r="D962" s="26"/>
      <c r="E962" s="26"/>
      <c r="F962" s="26"/>
      <c r="G962" s="26"/>
      <c r="H962" s="5"/>
    </row>
    <row r="963" spans="2:46" ht="14.25" customHeight="1">
      <c r="C963" s="244"/>
      <c r="D963" s="26"/>
      <c r="E963" s="26"/>
      <c r="F963" s="26"/>
      <c r="G963" s="26"/>
      <c r="H963" s="5"/>
    </row>
    <row r="964" spans="2:46" ht="14.25" customHeight="1">
      <c r="C964" s="244"/>
      <c r="D964" s="26"/>
      <c r="E964" s="26"/>
      <c r="F964" s="26"/>
      <c r="G964" s="26"/>
      <c r="H964" s="5"/>
    </row>
    <row r="965" spans="2:46" ht="14.25" customHeight="1">
      <c r="C965" s="244"/>
      <c r="D965" s="26"/>
      <c r="E965" s="26"/>
      <c r="F965" s="26"/>
      <c r="G965" s="26"/>
      <c r="H965" s="5"/>
    </row>
    <row r="966" spans="2:46" ht="14.25" customHeight="1">
      <c r="C966" s="244"/>
      <c r="D966" s="26"/>
      <c r="E966" s="26"/>
      <c r="F966" s="26"/>
      <c r="G966" s="26"/>
      <c r="H966" s="5"/>
    </row>
    <row r="967" spans="2:46" ht="14.25" customHeight="1">
      <c r="C967" s="244"/>
      <c r="D967" s="26"/>
      <c r="E967" s="26"/>
      <c r="F967" s="26"/>
      <c r="G967" s="26"/>
      <c r="H967" s="5"/>
    </row>
    <row r="968" spans="2:46" ht="14.25" customHeight="1">
      <c r="C968" s="244"/>
      <c r="D968" s="26"/>
      <c r="E968" s="26"/>
      <c r="F968" s="26"/>
      <c r="G968" s="26"/>
      <c r="H968" s="5"/>
    </row>
    <row r="969" spans="2:46" ht="14.25" customHeight="1">
      <c r="C969" s="244"/>
      <c r="D969" s="26"/>
      <c r="E969" s="26"/>
      <c r="F969" s="26"/>
      <c r="G969" s="26"/>
      <c r="H969" s="5"/>
    </row>
    <row r="970" spans="2:46" ht="14.25" customHeight="1">
      <c r="C970" s="244"/>
      <c r="D970" s="26"/>
      <c r="E970" s="26"/>
      <c r="F970" s="26"/>
      <c r="G970" s="26"/>
      <c r="H970" s="5"/>
    </row>
    <row r="971" spans="2:46" ht="14.25" customHeight="1">
      <c r="C971" s="244"/>
      <c r="D971" s="26"/>
      <c r="E971" s="26"/>
      <c r="F971" s="26"/>
      <c r="G971" s="26"/>
      <c r="H971" s="5"/>
    </row>
    <row r="972" spans="2:46" ht="14.25" customHeight="1">
      <c r="C972" s="244"/>
      <c r="D972" s="26"/>
      <c r="E972" s="26"/>
      <c r="F972" s="26"/>
      <c r="G972" s="26"/>
      <c r="H972" s="5"/>
    </row>
    <row r="973" spans="2:46" ht="14.25" customHeight="1">
      <c r="C973" s="244"/>
      <c r="D973" s="26"/>
      <c r="E973" s="26"/>
      <c r="F973" s="26"/>
      <c r="G973" s="26"/>
      <c r="H973" s="5"/>
    </row>
    <row r="974" spans="2:46" s="8" customFormat="1">
      <c r="B974" s="550" t="str">
        <f>TITLE!C22</f>
        <v>Полотна збірні: НІКА</v>
      </c>
      <c r="C974" s="550"/>
      <c r="D974" s="117"/>
      <c r="E974" s="117"/>
      <c r="F974" s="117"/>
      <c r="G974" s="117"/>
      <c r="H974" s="552"/>
      <c r="I974" s="552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544" t="str">
        <f>IF($C$1="ENG",CONCATENATE("up to: ",B901),CONCATENATE("вгору до: ",B901))</f>
        <v>вгору до: Полотна збірні: ЛАДА D</v>
      </c>
      <c r="U974" s="544"/>
      <c r="V974" s="544"/>
      <c r="W974" s="544"/>
      <c r="AN974" s="279"/>
      <c r="AO974" s="279"/>
      <c r="AP974" s="279"/>
      <c r="AQ974" s="279"/>
      <c r="AR974" s="279"/>
      <c r="AS974" s="279"/>
      <c r="AT974" s="279"/>
    </row>
    <row r="975" spans="2:46" s="8" customFormat="1" ht="5.0999999999999996" customHeight="1">
      <c r="B975" s="116"/>
      <c r="C975" s="418"/>
      <c r="D975" s="9"/>
      <c r="E975" s="9"/>
      <c r="F975" s="9"/>
      <c r="G975" s="9"/>
      <c r="H975" s="119"/>
      <c r="I975" s="119"/>
      <c r="T975" s="114"/>
      <c r="U975" s="114"/>
      <c r="V975" s="114"/>
      <c r="W975" s="114"/>
      <c r="AN975" s="279"/>
      <c r="AO975" s="279"/>
      <c r="AP975" s="279"/>
      <c r="AQ975" s="279"/>
      <c r="AR975" s="279"/>
      <c r="AS975" s="279"/>
      <c r="AT975" s="279"/>
    </row>
    <row r="976" spans="2:46" s="8" customFormat="1" ht="12.75" customHeight="1">
      <c r="B976" s="556" t="str">
        <f>IF($C$1="ENG","model","модель")</f>
        <v>модель</v>
      </c>
      <c r="C976" s="121" t="str">
        <f>IF($C$1="ENG","cover:","покриття:")</f>
        <v>покриття:</v>
      </c>
      <c r="D976" s="538" t="str">
        <f>IF($C$1="ENG","Verto-CELL","Verto-CELL")</f>
        <v>Verto-CELL</v>
      </c>
      <c r="E976" s="539"/>
      <c r="F976" s="538" t="str">
        <f>IF($C$1="ENG","UNI-MAT","UNI-MAT")</f>
        <v>UNI-MAT</v>
      </c>
      <c r="G976" s="539"/>
      <c r="H976" s="538" t="str">
        <f>IF($C$1="ENG","RESIST","RESIST")</f>
        <v>RESIST</v>
      </c>
      <c r="I976" s="539"/>
      <c r="J976" s="538" t="str">
        <f>IF($C$1="ENG","Verto LINE-3D","Verto LINE-3D")</f>
        <v>Verto LINE-3D</v>
      </c>
      <c r="K976" s="539"/>
      <c r="L976" s="538" t="str">
        <f>IF($C$1="ENG","ECO Shpon","ЕКО Шпон")</f>
        <v>ЕКО Шпон</v>
      </c>
      <c r="M976" s="539"/>
      <c r="P976" s="1"/>
      <c r="Q976" s="1"/>
      <c r="T976" s="114"/>
      <c r="U976" s="114"/>
      <c r="V976" s="114"/>
      <c r="W976" s="114"/>
      <c r="AN976" s="279"/>
      <c r="AO976" s="279"/>
      <c r="AP976" s="279"/>
      <c r="AQ976" s="279"/>
      <c r="AR976" s="279"/>
      <c r="AS976" s="279"/>
      <c r="AT976" s="279"/>
    </row>
    <row r="977" spans="1:46" s="8" customFormat="1" ht="24.75" customHeight="1">
      <c r="B977" s="557"/>
      <c r="C977" s="122" t="str">
        <f>IF($C$1="ENG","filling:","заповнення:")</f>
        <v>заповнення:</v>
      </c>
      <c r="D977" s="540" t="str">
        <f>IF($C$1="ENG","softwood","клеєний сосновий брус")</f>
        <v>клеєний сосновий брус</v>
      </c>
      <c r="E977" s="541"/>
      <c r="F977" s="540" t="str">
        <f>IF($C$1="ENG","softwood","клеєний сосновий брус")</f>
        <v>клеєний сосновий брус</v>
      </c>
      <c r="G977" s="541"/>
      <c r="H977" s="540" t="str">
        <f>IF($C$1="ENG","softwood","клеєний сосновий брус")</f>
        <v>клеєний сосновий брус</v>
      </c>
      <c r="I977" s="541"/>
      <c r="J977" s="540" t="str">
        <f>IF($C$1="ENG","softwood","клеєний сосновий брус")</f>
        <v>клеєний сосновий брус</v>
      </c>
      <c r="K977" s="541"/>
      <c r="L977" s="540" t="str">
        <f>IF($C$1="ENG","softwood","клеєний сосновий брус")</f>
        <v>клеєний сосновий брус</v>
      </c>
      <c r="M977" s="541"/>
      <c r="P977" s="1"/>
      <c r="Q977" s="1"/>
      <c r="T977" s="114"/>
      <c r="U977" s="114"/>
      <c r="V977" s="114"/>
      <c r="W977" s="114"/>
      <c r="AD977" s="381">
        <f>AD979/AC979-1</f>
        <v>0.13808801213960553</v>
      </c>
      <c r="AE977" s="381">
        <f>AE979/AD979-1</f>
        <v>3.2000000000000028E-2</v>
      </c>
      <c r="AF977" s="381">
        <f>AF979/AE979-1</f>
        <v>8.5271317829457294E-2</v>
      </c>
      <c r="AG977" s="381">
        <f>AG979/AF979-1</f>
        <v>4.4047619047619113E-2</v>
      </c>
      <c r="AN977" s="279"/>
      <c r="AO977" s="279"/>
      <c r="AP977" s="279"/>
      <c r="AQ977" s="279"/>
      <c r="AR977" s="279"/>
      <c r="AS977" s="279"/>
      <c r="AT977" s="279"/>
    </row>
    <row r="978" spans="1:46" ht="12.75" customHeight="1">
      <c r="A978" s="8"/>
      <c r="B978" s="558"/>
      <c r="C978" s="123" t="str">
        <f>IF($C$1="ENG","glazing:","скління:")</f>
        <v>скління:</v>
      </c>
      <c r="D978" s="542" t="str">
        <f>IF($C$1="ENG","Satin","Сатин")</f>
        <v>Сатин</v>
      </c>
      <c r="E978" s="543"/>
      <c r="F978" s="542" t="str">
        <f>IF($C$1="ENG","Satin","Сатин")</f>
        <v>Сатин</v>
      </c>
      <c r="G978" s="543"/>
      <c r="H978" s="542" t="str">
        <f>IF($C$1="ENG","Satin","Сатин")</f>
        <v>Сатин</v>
      </c>
      <c r="I978" s="543"/>
      <c r="J978" s="542" t="str">
        <f>IF($C$1="ENG","Satin","Сатин")</f>
        <v>Сатин</v>
      </c>
      <c r="K978" s="543"/>
      <c r="L978" s="542" t="str">
        <f>IF($C$1="ENG","Satin","Сатин")</f>
        <v>Сатин</v>
      </c>
      <c r="M978" s="543"/>
    </row>
    <row r="979" spans="1:46" ht="35.1" customHeight="1">
      <c r="A979" s="8"/>
      <c r="B979" s="16" t="s">
        <v>37</v>
      </c>
      <c r="C979" s="17"/>
      <c r="D979" s="18">
        <f>IF(AC979="","",(1-$W$2)*(AC979/1.2))</f>
        <v>5491.666666666667</v>
      </c>
      <c r="E979" s="66">
        <f>IF($W$5=0.2,D979*1.2,D979)/$W$4</f>
        <v>6590</v>
      </c>
      <c r="F979" s="18">
        <f>IF(AD979="","",(1-$W$2)*(AD979/1.2))</f>
        <v>6250</v>
      </c>
      <c r="G979" s="66">
        <f>IF($W$5=0.2,F979*1.2,F979)/$W$4</f>
        <v>7500</v>
      </c>
      <c r="H979" s="18">
        <f>IF(AE979="","",(1-$W$2)*(AE979/1.2))</f>
        <v>6450</v>
      </c>
      <c r="I979" s="66">
        <f>IF($W$5=0.2,H979*1.2,H979)/$W$4</f>
        <v>7740</v>
      </c>
      <c r="J979" s="18">
        <f>IF(AF979="","",(1-$W$2)*(AF979/1.2))</f>
        <v>7000</v>
      </c>
      <c r="K979" s="66">
        <f>IF($W$5=0.2,J979*1.2,J979)/$W$4</f>
        <v>8400</v>
      </c>
      <c r="L979" s="18">
        <f>IF(AG979="","",(1-$W$2)*(AG979/1.2))</f>
        <v>7308.3333333333339</v>
      </c>
      <c r="M979" s="66">
        <f>IF($W$5=0.2,L979*1.2,L979)/$W$4</f>
        <v>8770</v>
      </c>
      <c r="N979" s="103"/>
      <c r="R979" s="103"/>
      <c r="T979" s="103"/>
      <c r="U979" s="20"/>
      <c r="V979" s="103"/>
      <c r="W979" s="20"/>
      <c r="X979" s="103"/>
      <c r="Y979" s="103"/>
      <c r="Z979" s="103"/>
      <c r="AA979" s="103"/>
      <c r="AB979" s="103"/>
      <c r="AC979" s="331">
        <v>6590</v>
      </c>
      <c r="AD979" s="389">
        <v>7500</v>
      </c>
      <c r="AE979" s="331">
        <v>7740</v>
      </c>
      <c r="AF979" s="331">
        <v>8400</v>
      </c>
      <c r="AG979" s="331">
        <v>8770</v>
      </c>
      <c r="AH979" s="288">
        <v>6590</v>
      </c>
      <c r="AI979" s="288">
        <f>AH979/AC979-1</f>
        <v>0</v>
      </c>
      <c r="AJ979" s="288">
        <v>7500</v>
      </c>
      <c r="AK979" s="288">
        <f>AJ979/AD979-1</f>
        <v>0</v>
      </c>
      <c r="AL979" s="288">
        <v>7740</v>
      </c>
      <c r="AM979" s="288">
        <f>AL979/AE979-1</f>
        <v>0</v>
      </c>
      <c r="AN979" s="30">
        <f>AF979/100*12+AF979</f>
        <v>9408</v>
      </c>
      <c r="AO979" s="1">
        <f>AN979/AF979-1</f>
        <v>0.12000000000000011</v>
      </c>
      <c r="AP979" s="30">
        <v>8770</v>
      </c>
      <c r="AQ979" s="1">
        <f>AP979/AG979-1</f>
        <v>0</v>
      </c>
    </row>
    <row r="980" spans="1:46" ht="35.1" customHeight="1">
      <c r="A980" s="8"/>
      <c r="B980" s="23" t="s">
        <v>38</v>
      </c>
      <c r="C980" s="24"/>
      <c r="D980" s="25">
        <f>IF(AC980="","",(1-$W$2)*(AC980/1.2))</f>
        <v>5491.666666666667</v>
      </c>
      <c r="E980" s="69">
        <f>IF($W$5=0.2,D980*1.2,D980)/$W$4</f>
        <v>6590</v>
      </c>
      <c r="F980" s="25">
        <f>IF(AD980="","",(1-$W$2)*(AD980/1.2))</f>
        <v>6250</v>
      </c>
      <c r="G980" s="69">
        <f>IF($W$5=0.2,F980*1.2,F980)/$W$4</f>
        <v>7500</v>
      </c>
      <c r="H980" s="25">
        <f>IF(AE980="","",(1-$W$2)*(AE980/1.2))</f>
        <v>6450</v>
      </c>
      <c r="I980" s="69">
        <f>IF($W$5=0.2,H980*1.2,H980)/$W$4</f>
        <v>7740</v>
      </c>
      <c r="J980" s="25">
        <f>IF(AF980="","",(1-$W$2)*(AF980/1.2))</f>
        <v>7000</v>
      </c>
      <c r="K980" s="69">
        <f>IF($W$5=0.2,J980*1.2,J980)/$W$4</f>
        <v>8400</v>
      </c>
      <c r="L980" s="25">
        <f>IF(AG980="","",(1-$W$2)*(AG980/1.2))</f>
        <v>7308.3333333333339</v>
      </c>
      <c r="M980" s="69">
        <f>IF($W$5=0.2,L980*1.2,L980)/$W$4</f>
        <v>8770</v>
      </c>
      <c r="N980" s="103"/>
      <c r="R980" s="103"/>
      <c r="T980" s="103"/>
      <c r="U980" s="20"/>
      <c r="V980" s="103"/>
      <c r="W980" s="20"/>
      <c r="X980" s="103"/>
      <c r="Y980" s="103"/>
      <c r="Z980" s="103"/>
      <c r="AA980" s="103"/>
      <c r="AB980" s="103"/>
      <c r="AC980" s="331">
        <v>6590</v>
      </c>
      <c r="AD980" s="389">
        <v>7500</v>
      </c>
      <c r="AE980" s="331">
        <v>7740</v>
      </c>
      <c r="AF980" s="331">
        <v>8400</v>
      </c>
      <c r="AG980" s="331">
        <v>8770</v>
      </c>
      <c r="AH980" s="288">
        <v>6590</v>
      </c>
      <c r="AI980" s="288">
        <f>AH980/AC980-1</f>
        <v>0</v>
      </c>
      <c r="AJ980" s="288">
        <v>7500</v>
      </c>
      <c r="AK980" s="288">
        <f>AJ980/AD980-1</f>
        <v>0</v>
      </c>
      <c r="AL980" s="288">
        <v>7740</v>
      </c>
      <c r="AM980" s="288">
        <f>AL980/AE980-1</f>
        <v>0</v>
      </c>
      <c r="AN980" s="30">
        <f>AF980/100*12+AF980</f>
        <v>9408</v>
      </c>
      <c r="AO980" s="1">
        <f>AN980/AF980-1</f>
        <v>0.12000000000000011</v>
      </c>
      <c r="AP980" s="30">
        <v>8770</v>
      </c>
      <c r="AQ980" s="1">
        <f>AP980/AG980-1</f>
        <v>0</v>
      </c>
    </row>
    <row r="981" spans="1:46">
      <c r="C981" s="244"/>
      <c r="D981" s="26"/>
      <c r="E981" s="57"/>
      <c r="F981" s="26"/>
      <c r="G981" s="57"/>
      <c r="H981" s="10"/>
      <c r="I981" s="8"/>
      <c r="J981" s="8"/>
      <c r="K981" s="8"/>
    </row>
    <row r="982" spans="1:46">
      <c r="B982" s="211" t="str">
        <f>IF($C$1="ENG","For additonal charge:","Послуги за додаткову плату:")</f>
        <v>Послуги за додаткову плату:</v>
      </c>
      <c r="C982" s="419"/>
      <c r="D982" s="212"/>
      <c r="E982" s="213"/>
      <c r="F982" s="26"/>
      <c r="G982" s="57"/>
      <c r="H982" s="10"/>
      <c r="I982" s="8"/>
      <c r="J982" s="8"/>
      <c r="K982" s="8"/>
    </row>
    <row r="983" spans="1:46" ht="5.0999999999999996" customHeight="1">
      <c r="B983" s="27"/>
      <c r="C983" s="244"/>
      <c r="D983" s="26"/>
      <c r="E983" s="57"/>
      <c r="F983" s="26"/>
      <c r="G983" s="57"/>
      <c r="H983" s="10"/>
      <c r="I983" s="8"/>
      <c r="J983" s="8"/>
      <c r="K983" s="8"/>
    </row>
    <row r="984" spans="1:46">
      <c r="B984" s="561" t="str">
        <f>IF($C$1="ENG","door leaf with width 100","полотно розміром 100")</f>
        <v>полотно розміром 100</v>
      </c>
      <c r="C984" s="562"/>
      <c r="D984" s="408">
        <f t="shared" ref="D984:D996" si="138">IF(AC984="","",(1-$W$2)*(AC984/1.2))</f>
        <v>600</v>
      </c>
      <c r="E984" s="91">
        <f t="shared" ref="E984:E995" si="139">IF($W$5=0.2,D984*1.2,D984)/$W$4</f>
        <v>720</v>
      </c>
      <c r="F984" s="26"/>
      <c r="G984" s="26"/>
      <c r="H984" s="10"/>
      <c r="I984" s="8"/>
      <c r="J984" s="8"/>
      <c r="K984" s="8"/>
      <c r="AC984" s="297">
        <v>720</v>
      </c>
      <c r="AD984" s="297">
        <v>720</v>
      </c>
      <c r="AE984" s="288"/>
      <c r="AF984" s="288"/>
      <c r="AG984" s="288"/>
      <c r="AH984" s="288"/>
      <c r="AI984" s="288"/>
      <c r="AJ984" s="288"/>
      <c r="AK984" s="288"/>
      <c r="AL984" s="288"/>
    </row>
    <row r="985" spans="1:46">
      <c r="B985" s="561" t="str">
        <f>IF($C$1="ENG","Ventilation cut","вентиляційний підріз")</f>
        <v>вентиляційний підріз</v>
      </c>
      <c r="C985" s="562"/>
      <c r="D985" s="403">
        <f t="shared" si="138"/>
        <v>141.66666666666669</v>
      </c>
      <c r="E985" s="66">
        <f t="shared" si="139"/>
        <v>170.00000000000003</v>
      </c>
      <c r="F985" s="26"/>
      <c r="G985" s="26"/>
      <c r="I985" s="59"/>
      <c r="J985" s="28"/>
      <c r="AC985" s="297">
        <v>170</v>
      </c>
      <c r="AD985" s="297">
        <v>170</v>
      </c>
      <c r="AE985" s="288"/>
      <c r="AF985" s="288"/>
      <c r="AG985" s="288"/>
      <c r="AH985" s="288"/>
      <c r="AI985" s="288"/>
      <c r="AJ985" s="288"/>
      <c r="AK985" s="288"/>
      <c r="AL985" s="288"/>
    </row>
    <row r="986" spans="1:46">
      <c r="B986" s="554" t="str">
        <f>IF($C$1="ENG","glazing Graphite / Bronze","скло Графіт / Бронза")</f>
        <v>скло Графіт / Бронза</v>
      </c>
      <c r="C986" s="555"/>
      <c r="D986" s="405">
        <f t="shared" si="138"/>
        <v>458.33333333333337</v>
      </c>
      <c r="E986" s="92">
        <f t="shared" si="139"/>
        <v>550</v>
      </c>
      <c r="F986" s="26"/>
      <c r="G986" s="26"/>
      <c r="H986" s="5"/>
      <c r="AC986" s="297">
        <v>550</v>
      </c>
      <c r="AD986" s="297">
        <v>550</v>
      </c>
      <c r="AE986" s="288"/>
      <c r="AF986" s="288"/>
      <c r="AG986" s="288"/>
      <c r="AH986" s="288"/>
      <c r="AI986" s="288"/>
      <c r="AJ986" s="288"/>
      <c r="AK986" s="288"/>
      <c r="AL986" s="288"/>
    </row>
    <row r="987" spans="1:46">
      <c r="B987" s="554" t="str">
        <f>IF($C$1="ENG","glazing Lacobel black ","скло Lacobel чорне")</f>
        <v>скло Lacobel чорне</v>
      </c>
      <c r="C987" s="555"/>
      <c r="D987" s="405">
        <f t="shared" si="138"/>
        <v>458.33333333333337</v>
      </c>
      <c r="E987" s="92">
        <f>IF($W$5=0.2,D987*1.2,D987)/$W$4</f>
        <v>550</v>
      </c>
      <c r="F987" s="26"/>
      <c r="G987" s="26"/>
      <c r="H987" s="5"/>
      <c r="AC987" s="297">
        <v>550</v>
      </c>
      <c r="AD987" s="297">
        <v>550</v>
      </c>
      <c r="AE987" s="288"/>
      <c r="AF987" s="288"/>
      <c r="AG987" s="288"/>
      <c r="AH987" s="288"/>
      <c r="AI987" s="288"/>
      <c r="AJ987" s="288"/>
      <c r="AK987" s="288"/>
      <c r="AL987" s="288"/>
    </row>
    <row r="988" spans="1:46">
      <c r="B988" s="554" t="str">
        <f>IF($C$1="ENG","door lock Soft","замок Soft")</f>
        <v>замок Soft</v>
      </c>
      <c r="C988" s="555"/>
      <c r="D988" s="405">
        <f t="shared" si="138"/>
        <v>458.33333333333337</v>
      </c>
      <c r="E988" s="92">
        <f t="shared" si="139"/>
        <v>550</v>
      </c>
      <c r="F988" s="26"/>
      <c r="G988" s="26"/>
      <c r="H988" s="5"/>
      <c r="AC988" s="297">
        <v>550</v>
      </c>
      <c r="AD988" s="297">
        <v>550</v>
      </c>
      <c r="AE988" s="288"/>
      <c r="AF988" s="288"/>
      <c r="AG988" s="288"/>
      <c r="AH988" s="288"/>
      <c r="AI988" s="288"/>
      <c r="AJ988" s="288"/>
      <c r="AK988" s="288"/>
      <c r="AL988" s="288"/>
    </row>
    <row r="989" spans="1:46">
      <c r="B989" s="554" t="str">
        <f>IF($C$1="ENG","door lock Soft black","замок Soft чорн.")</f>
        <v>замок Soft чорн.</v>
      </c>
      <c r="C989" s="555"/>
      <c r="D989" s="405">
        <f t="shared" ref="D989" si="140">IF(AC989="","",(1-$W$2)*(AC989/1.2))</f>
        <v>566.66666666666674</v>
      </c>
      <c r="E989" s="92">
        <f t="shared" ref="E989" si="141">IF($W$5=0.2,D989*1.2,D989)/$W$4</f>
        <v>680.00000000000011</v>
      </c>
      <c r="F989" s="26"/>
      <c r="G989" s="26"/>
      <c r="H989" s="5"/>
      <c r="AC989" s="297">
        <v>680</v>
      </c>
      <c r="AD989" s="297"/>
      <c r="AE989" s="288"/>
      <c r="AF989" s="288"/>
      <c r="AG989" s="288"/>
      <c r="AH989" s="288"/>
      <c r="AI989" s="288"/>
      <c r="AJ989" s="288"/>
      <c r="AK989" s="288"/>
      <c r="AL989" s="288"/>
    </row>
    <row r="990" spans="1:46">
      <c r="B990" s="554" t="str">
        <f>IF($C$1="ENG","door lock Magnet","замок Magnet")</f>
        <v>замок Magnet</v>
      </c>
      <c r="C990" s="555"/>
      <c r="D990" s="405">
        <f t="shared" si="138"/>
        <v>666.66666666666674</v>
      </c>
      <c r="E990" s="92">
        <f t="shared" si="139"/>
        <v>800.00000000000011</v>
      </c>
      <c r="F990" s="26"/>
      <c r="G990" s="26"/>
      <c r="H990" s="5"/>
      <c r="AC990" s="297">
        <v>800</v>
      </c>
      <c r="AD990" s="297">
        <v>800</v>
      </c>
      <c r="AE990" s="288"/>
      <c r="AF990" s="288"/>
      <c r="AG990" s="288"/>
      <c r="AH990" s="288"/>
      <c r="AI990" s="288"/>
      <c r="AJ990" s="288"/>
      <c r="AK990" s="288"/>
      <c r="AL990" s="288"/>
    </row>
    <row r="991" spans="1:46">
      <c r="B991" s="554" t="s">
        <v>66</v>
      </c>
      <c r="C991" s="555"/>
      <c r="D991" s="405">
        <f t="shared" ref="D991" si="142">IF(AC991="","",(1-$W$2)*(AC991/1.2))</f>
        <v>833.33333333333337</v>
      </c>
      <c r="E991" s="92">
        <f t="shared" ref="E991" si="143">IF($W$5=0.2,D991*1.2,D991)/$W$4</f>
        <v>1000</v>
      </c>
      <c r="F991" s="26"/>
      <c r="G991" s="26"/>
      <c r="H991" s="5"/>
      <c r="AC991" s="297">
        <v>1000</v>
      </c>
      <c r="AD991" s="297"/>
      <c r="AE991" s="288"/>
      <c r="AF991" s="288"/>
      <c r="AG991" s="288"/>
      <c r="AH991" s="288"/>
      <c r="AI991" s="288"/>
      <c r="AJ991" s="288"/>
      <c r="AK991" s="288"/>
      <c r="AL991" s="288"/>
    </row>
    <row r="992" spans="1:46">
      <c r="B992" s="554" t="str">
        <f>IF($C$1="ENG","door handle-lock (for sliding doors)","ручка-замок (для дверей купе)")</f>
        <v>ручка-замок (для дверей купе)</v>
      </c>
      <c r="C992" s="555"/>
      <c r="D992" s="403">
        <f t="shared" si="138"/>
        <v>466.66666666666669</v>
      </c>
      <c r="E992" s="92">
        <f t="shared" si="139"/>
        <v>560</v>
      </c>
      <c r="F992" s="26"/>
      <c r="G992" s="26"/>
      <c r="I992" s="11"/>
      <c r="J992" s="11"/>
      <c r="K992" s="19"/>
      <c r="AC992" s="297">
        <v>560</v>
      </c>
      <c r="AD992" s="297">
        <v>560</v>
      </c>
      <c r="AE992" s="288"/>
      <c r="AF992" s="288"/>
      <c r="AG992" s="288"/>
      <c r="AH992" s="288"/>
      <c r="AI992" s="288"/>
      <c r="AJ992" s="288"/>
      <c r="AK992" s="288"/>
      <c r="AL992" s="288"/>
    </row>
    <row r="993" spans="2:38">
      <c r="B993" s="554" t="str">
        <f>IF($C$1="ENG","cylinder incert","циліндр несиметричний")</f>
        <v>циліндр несиметричний</v>
      </c>
      <c r="C993" s="555"/>
      <c r="D993" s="403">
        <f t="shared" si="138"/>
        <v>325</v>
      </c>
      <c r="E993" s="92">
        <f t="shared" si="139"/>
        <v>390</v>
      </c>
      <c r="F993" s="26"/>
      <c r="G993" s="26"/>
      <c r="AC993" s="297">
        <v>390</v>
      </c>
      <c r="AD993" s="297">
        <v>390</v>
      </c>
      <c r="AE993" s="288"/>
      <c r="AF993" s="288"/>
      <c r="AG993" s="288"/>
      <c r="AH993" s="288"/>
      <c r="AI993" s="288"/>
      <c r="AJ993" s="288"/>
      <c r="AK993" s="288"/>
      <c r="AL993" s="288"/>
    </row>
    <row r="994" spans="2:38">
      <c r="B994" s="554" t="str">
        <f>IF($C$1="ENG","door hindge Prestige (1 unit)","завіса Prestige (1 шт)")</f>
        <v>завіса Prestige (1 шт)</v>
      </c>
      <c r="C994" s="555"/>
      <c r="D994" s="406">
        <f t="shared" si="138"/>
        <v>216.66666666666669</v>
      </c>
      <c r="E994" s="92">
        <f t="shared" si="139"/>
        <v>260</v>
      </c>
      <c r="F994" s="26"/>
      <c r="G994" s="26"/>
      <c r="AC994" s="297">
        <v>260</v>
      </c>
      <c r="AD994" s="297">
        <v>260</v>
      </c>
      <c r="AE994" s="288"/>
      <c r="AF994" s="288"/>
      <c r="AG994" s="288"/>
      <c r="AH994" s="288"/>
      <c r="AI994" s="288"/>
      <c r="AJ994" s="288"/>
      <c r="AK994" s="288"/>
      <c r="AL994" s="288"/>
    </row>
    <row r="995" spans="2:38">
      <c r="B995" s="554" t="str">
        <f>IF($C$1="ENG","door hinge caps (1 set)","накладка на завіси (1 к-т)")</f>
        <v>накладка на завіси (1 к-т)</v>
      </c>
      <c r="C995" s="555"/>
      <c r="D995" s="406">
        <f t="shared" si="138"/>
        <v>66.666666666666671</v>
      </c>
      <c r="E995" s="92">
        <f t="shared" si="139"/>
        <v>80</v>
      </c>
      <c r="F995" s="26"/>
      <c r="G995" s="26"/>
      <c r="AC995" s="297">
        <v>80</v>
      </c>
      <c r="AD995" s="297">
        <v>80</v>
      </c>
      <c r="AE995" s="288"/>
      <c r="AF995" s="288"/>
      <c r="AG995" s="288"/>
      <c r="AH995" s="288"/>
      <c r="AI995" s="288"/>
      <c r="AJ995" s="288"/>
      <c r="AK995" s="288"/>
      <c r="AL995" s="288"/>
    </row>
    <row r="996" spans="2:38">
      <c r="B996" s="554" t="str">
        <f>IF($C$1="ENG","door handle","дверна ручка")</f>
        <v>дверна ручка</v>
      </c>
      <c r="C996" s="555"/>
      <c r="D996" s="407" t="str">
        <f t="shared" si="138"/>
        <v/>
      </c>
      <c r="E996" s="246" t="str">
        <f>IF($C$1="ENG","see Handles Price","див. Таблицю Ручки")</f>
        <v>див. Таблицю Ручки</v>
      </c>
      <c r="F996" s="26"/>
      <c r="G996" s="26"/>
      <c r="AC996" s="288"/>
      <c r="AD996" s="288"/>
      <c r="AE996" s="288"/>
      <c r="AF996" s="288"/>
      <c r="AG996" s="288"/>
      <c r="AH996" s="288"/>
      <c r="AI996" s="288"/>
      <c r="AJ996" s="288"/>
      <c r="AK996" s="288"/>
      <c r="AL996" s="288"/>
    </row>
    <row r="997" spans="2:38" ht="14.25" customHeight="1">
      <c r="C997" s="244"/>
      <c r="D997" s="26"/>
      <c r="E997" s="26"/>
      <c r="F997" s="26"/>
      <c r="G997" s="26"/>
      <c r="H997" s="5"/>
      <c r="T997" s="536" t="str">
        <f>IF($C$1="ENG",CONCATENATE("down to: ",B1047),CONCATENATE("вниз до: ",B1047))</f>
        <v>вниз до: Полотна збірні: ЛІСА</v>
      </c>
      <c r="U997" s="536"/>
      <c r="V997" s="536"/>
      <c r="W997" s="536"/>
    </row>
    <row r="998" spans="2:38" ht="14.25" customHeight="1">
      <c r="C998" s="244"/>
      <c r="D998" s="26"/>
      <c r="E998" s="26"/>
      <c r="F998" s="26"/>
      <c r="G998" s="26"/>
      <c r="H998" s="5"/>
    </row>
    <row r="999" spans="2:38" ht="14.25" customHeight="1">
      <c r="C999" s="244"/>
      <c r="D999" s="26"/>
      <c r="E999" s="26"/>
      <c r="F999" s="26"/>
      <c r="G999" s="26"/>
      <c r="H999" s="5"/>
    </row>
    <row r="1000" spans="2:38" ht="14.25" customHeight="1">
      <c r="C1000" s="244"/>
      <c r="D1000" s="26"/>
      <c r="E1000" s="26"/>
      <c r="F1000" s="26"/>
      <c r="G1000" s="26"/>
      <c r="H1000" s="5"/>
    </row>
    <row r="1001" spans="2:38" ht="14.25" customHeight="1">
      <c r="C1001" s="244"/>
      <c r="D1001" s="26"/>
      <c r="E1001" s="26"/>
      <c r="F1001" s="26"/>
      <c r="G1001" s="26"/>
      <c r="H1001" s="5"/>
    </row>
    <row r="1002" spans="2:38" ht="14.25" customHeight="1">
      <c r="C1002" s="244"/>
      <c r="D1002" s="26"/>
      <c r="E1002" s="26"/>
      <c r="F1002" s="26"/>
      <c r="G1002" s="26"/>
      <c r="H1002" s="5"/>
    </row>
    <row r="1003" spans="2:38" ht="14.25" customHeight="1">
      <c r="C1003" s="244"/>
      <c r="D1003" s="26"/>
      <c r="E1003" s="26"/>
      <c r="F1003" s="26"/>
      <c r="G1003" s="26"/>
      <c r="H1003" s="5"/>
    </row>
    <row r="1004" spans="2:38" ht="14.25" customHeight="1">
      <c r="C1004" s="244"/>
      <c r="D1004" s="26"/>
      <c r="E1004" s="26"/>
      <c r="F1004" s="26"/>
      <c r="G1004" s="26"/>
      <c r="H1004" s="5"/>
    </row>
    <row r="1005" spans="2:38" ht="14.25" customHeight="1">
      <c r="C1005" s="244"/>
      <c r="D1005" s="26"/>
      <c r="E1005" s="26"/>
      <c r="F1005" s="26"/>
      <c r="G1005" s="26"/>
      <c r="H1005" s="5"/>
    </row>
    <row r="1006" spans="2:38" ht="14.25" customHeight="1">
      <c r="C1006" s="244"/>
      <c r="D1006" s="26"/>
      <c r="E1006" s="26"/>
      <c r="F1006" s="26"/>
      <c r="G1006" s="26"/>
      <c r="H1006" s="5"/>
    </row>
    <row r="1007" spans="2:38" ht="14.25" customHeight="1">
      <c r="C1007" s="244"/>
      <c r="D1007" s="26"/>
      <c r="E1007" s="26"/>
      <c r="F1007" s="26"/>
      <c r="G1007" s="26"/>
      <c r="H1007" s="5"/>
    </row>
    <row r="1008" spans="2:38" ht="14.25" customHeight="1">
      <c r="C1008" s="244"/>
      <c r="D1008" s="26"/>
      <c r="E1008" s="26"/>
      <c r="F1008" s="26"/>
      <c r="G1008" s="26"/>
      <c r="H1008" s="5"/>
    </row>
    <row r="1009" spans="3:8" ht="14.25" customHeight="1">
      <c r="C1009" s="244"/>
      <c r="D1009" s="26"/>
      <c r="E1009" s="26"/>
      <c r="F1009" s="26"/>
      <c r="G1009" s="26"/>
      <c r="H1009" s="5"/>
    </row>
    <row r="1010" spans="3:8" ht="14.25" customHeight="1">
      <c r="C1010" s="244"/>
      <c r="D1010" s="26"/>
      <c r="E1010" s="26"/>
      <c r="F1010" s="26"/>
      <c r="G1010" s="26"/>
      <c r="H1010" s="5"/>
    </row>
    <row r="1011" spans="3:8" ht="14.25" customHeight="1">
      <c r="C1011" s="244"/>
      <c r="D1011" s="26"/>
      <c r="E1011" s="26"/>
      <c r="F1011" s="26"/>
      <c r="G1011" s="26"/>
      <c r="H1011" s="5"/>
    </row>
    <row r="1012" spans="3:8" ht="14.25" customHeight="1">
      <c r="C1012" s="244"/>
      <c r="D1012" s="26"/>
      <c r="E1012" s="26"/>
      <c r="F1012" s="26"/>
      <c r="G1012" s="26"/>
      <c r="H1012" s="5"/>
    </row>
    <row r="1013" spans="3:8" ht="14.25" customHeight="1">
      <c r="C1013" s="244"/>
      <c r="D1013" s="26"/>
      <c r="E1013" s="26"/>
      <c r="F1013" s="26"/>
      <c r="G1013" s="26"/>
      <c r="H1013" s="5"/>
    </row>
    <row r="1014" spans="3:8" ht="14.25" customHeight="1">
      <c r="C1014" s="244"/>
      <c r="D1014" s="26"/>
      <c r="E1014" s="26"/>
      <c r="F1014" s="26"/>
      <c r="G1014" s="26"/>
      <c r="H1014" s="5"/>
    </row>
    <row r="1015" spans="3:8" ht="14.25" customHeight="1">
      <c r="C1015" s="244"/>
      <c r="D1015" s="26"/>
      <c r="E1015" s="26"/>
      <c r="F1015" s="26"/>
      <c r="G1015" s="26"/>
      <c r="H1015" s="5"/>
    </row>
    <row r="1016" spans="3:8" ht="14.25" customHeight="1">
      <c r="C1016" s="244"/>
      <c r="D1016" s="26"/>
      <c r="E1016" s="26"/>
      <c r="F1016" s="26"/>
      <c r="G1016" s="26"/>
      <c r="H1016" s="5"/>
    </row>
    <row r="1017" spans="3:8" ht="14.25" customHeight="1">
      <c r="C1017" s="244"/>
      <c r="D1017" s="26"/>
      <c r="E1017" s="26"/>
      <c r="F1017" s="26"/>
      <c r="G1017" s="26"/>
      <c r="H1017" s="5"/>
    </row>
    <row r="1018" spans="3:8" ht="14.25" customHeight="1">
      <c r="C1018" s="244"/>
      <c r="D1018" s="26"/>
      <c r="E1018" s="26"/>
      <c r="F1018" s="26"/>
      <c r="G1018" s="26"/>
      <c r="H1018" s="5"/>
    </row>
    <row r="1019" spans="3:8" ht="14.25" customHeight="1">
      <c r="C1019" s="244"/>
      <c r="D1019" s="26"/>
      <c r="E1019" s="26"/>
      <c r="F1019" s="26"/>
      <c r="G1019" s="26"/>
      <c r="H1019" s="5"/>
    </row>
    <row r="1020" spans="3:8" ht="14.25" customHeight="1">
      <c r="C1020" s="244"/>
      <c r="D1020" s="26"/>
      <c r="E1020" s="26"/>
      <c r="F1020" s="26"/>
      <c r="G1020" s="26"/>
      <c r="H1020" s="5"/>
    </row>
    <row r="1021" spans="3:8" ht="14.25" customHeight="1">
      <c r="C1021" s="244"/>
      <c r="D1021" s="26"/>
      <c r="E1021" s="26"/>
      <c r="F1021" s="26"/>
      <c r="G1021" s="26"/>
      <c r="H1021" s="5"/>
    </row>
    <row r="1022" spans="3:8" ht="14.25" customHeight="1">
      <c r="C1022" s="244"/>
      <c r="D1022" s="26"/>
      <c r="E1022" s="26"/>
      <c r="F1022" s="26"/>
      <c r="G1022" s="26"/>
      <c r="H1022" s="5"/>
    </row>
    <row r="1023" spans="3:8" ht="14.25" customHeight="1">
      <c r="C1023" s="244"/>
      <c r="D1023" s="26"/>
      <c r="E1023" s="26"/>
      <c r="F1023" s="26"/>
      <c r="G1023" s="26"/>
      <c r="H1023" s="5"/>
    </row>
    <row r="1024" spans="3:8" ht="14.25" customHeight="1">
      <c r="C1024" s="244"/>
      <c r="D1024" s="26"/>
      <c r="E1024" s="26"/>
      <c r="F1024" s="26"/>
      <c r="G1024" s="26"/>
      <c r="H1024" s="5"/>
    </row>
    <row r="1025" spans="3:8" ht="14.25" customHeight="1">
      <c r="C1025" s="244"/>
      <c r="D1025" s="26"/>
      <c r="E1025" s="26"/>
      <c r="F1025" s="26"/>
      <c r="G1025" s="26"/>
      <c r="H1025" s="5"/>
    </row>
    <row r="1026" spans="3:8" ht="14.25" customHeight="1">
      <c r="C1026" s="244"/>
      <c r="D1026" s="26"/>
      <c r="E1026" s="26"/>
      <c r="F1026" s="26"/>
      <c r="G1026" s="26"/>
      <c r="H1026" s="5"/>
    </row>
    <row r="1027" spans="3:8" ht="14.25" customHeight="1">
      <c r="C1027" s="244"/>
      <c r="D1027" s="26"/>
      <c r="E1027" s="26"/>
      <c r="F1027" s="26"/>
      <c r="G1027" s="26"/>
      <c r="H1027" s="5"/>
    </row>
    <row r="1028" spans="3:8" ht="14.25" customHeight="1">
      <c r="C1028" s="244"/>
      <c r="D1028" s="26"/>
      <c r="E1028" s="26"/>
      <c r="F1028" s="26"/>
      <c r="G1028" s="26"/>
      <c r="H1028" s="5"/>
    </row>
    <row r="1029" spans="3:8" ht="14.25" customHeight="1">
      <c r="C1029" s="244"/>
      <c r="D1029" s="26"/>
      <c r="E1029" s="26"/>
      <c r="F1029" s="26"/>
      <c r="G1029" s="26"/>
      <c r="H1029" s="5"/>
    </row>
    <row r="1030" spans="3:8" ht="14.25" customHeight="1">
      <c r="C1030" s="244"/>
      <c r="D1030" s="26"/>
      <c r="E1030" s="26"/>
      <c r="F1030" s="26"/>
      <c r="G1030" s="26"/>
      <c r="H1030" s="5"/>
    </row>
    <row r="1031" spans="3:8" ht="14.25" customHeight="1">
      <c r="C1031" s="244"/>
      <c r="D1031" s="26"/>
      <c r="E1031" s="26"/>
      <c r="F1031" s="26"/>
      <c r="G1031" s="26"/>
      <c r="H1031" s="5"/>
    </row>
    <row r="1032" spans="3:8" ht="14.25" customHeight="1">
      <c r="C1032" s="244"/>
      <c r="D1032" s="26"/>
      <c r="E1032" s="26"/>
      <c r="F1032" s="26"/>
      <c r="G1032" s="26"/>
      <c r="H1032" s="5"/>
    </row>
    <row r="1033" spans="3:8" ht="14.25" customHeight="1">
      <c r="C1033" s="244"/>
      <c r="D1033" s="26"/>
      <c r="E1033" s="26"/>
      <c r="F1033" s="26"/>
      <c r="G1033" s="26"/>
      <c r="H1033" s="5"/>
    </row>
    <row r="1034" spans="3:8" ht="14.25" customHeight="1">
      <c r="C1034" s="244"/>
      <c r="D1034" s="26"/>
      <c r="E1034" s="26"/>
      <c r="F1034" s="26"/>
      <c r="G1034" s="26"/>
      <c r="H1034" s="5"/>
    </row>
    <row r="1035" spans="3:8" ht="14.25" customHeight="1">
      <c r="C1035" s="244"/>
      <c r="D1035" s="26"/>
      <c r="E1035" s="26"/>
      <c r="F1035" s="26"/>
      <c r="G1035" s="26"/>
      <c r="H1035" s="5"/>
    </row>
    <row r="1036" spans="3:8" ht="14.25" customHeight="1">
      <c r="C1036" s="244"/>
      <c r="D1036" s="26"/>
      <c r="E1036" s="26"/>
      <c r="F1036" s="26"/>
      <c r="G1036" s="26"/>
      <c r="H1036" s="5"/>
    </row>
    <row r="1037" spans="3:8" ht="14.25" customHeight="1">
      <c r="C1037" s="244"/>
      <c r="D1037" s="26"/>
      <c r="E1037" s="26"/>
      <c r="F1037" s="26"/>
      <c r="G1037" s="26"/>
      <c r="H1037" s="5"/>
    </row>
    <row r="1038" spans="3:8" ht="14.25" customHeight="1">
      <c r="C1038" s="244"/>
      <c r="D1038" s="26"/>
      <c r="E1038" s="26"/>
      <c r="F1038" s="26"/>
      <c r="G1038" s="26"/>
      <c r="H1038" s="5"/>
    </row>
    <row r="1039" spans="3:8" ht="14.25" customHeight="1">
      <c r="C1039" s="244"/>
      <c r="D1039" s="26"/>
      <c r="E1039" s="26"/>
      <c r="F1039" s="26"/>
      <c r="G1039" s="26"/>
      <c r="H1039" s="5"/>
    </row>
    <row r="1040" spans="3:8" ht="14.25" customHeight="1">
      <c r="C1040" s="244"/>
      <c r="D1040" s="26"/>
      <c r="E1040" s="26"/>
      <c r="F1040" s="26"/>
      <c r="G1040" s="26"/>
      <c r="H1040" s="5"/>
    </row>
    <row r="1041" spans="1:46" ht="14.25" customHeight="1">
      <c r="C1041" s="244"/>
      <c r="D1041" s="26"/>
      <c r="E1041" s="26"/>
      <c r="F1041" s="26"/>
      <c r="G1041" s="26"/>
      <c r="H1041" s="5"/>
      <c r="AH1041" s="288">
        <f>AC1041/100*12+AC1041</f>
        <v>0</v>
      </c>
      <c r="AI1041" s="288" t="e">
        <f>AH1041/AC1041-1</f>
        <v>#DIV/0!</v>
      </c>
    </row>
    <row r="1042" spans="1:46" ht="14.25" customHeight="1">
      <c r="C1042" s="244"/>
      <c r="D1042" s="26"/>
      <c r="E1042" s="26"/>
      <c r="F1042" s="26"/>
      <c r="G1042" s="26"/>
      <c r="H1042" s="5"/>
    </row>
    <row r="1043" spans="1:46" ht="14.25" customHeight="1">
      <c r="C1043" s="244"/>
      <c r="D1043" s="26"/>
      <c r="E1043" s="26"/>
      <c r="F1043" s="26"/>
      <c r="G1043" s="26"/>
      <c r="H1043" s="5"/>
    </row>
    <row r="1044" spans="1:46" ht="14.25" customHeight="1">
      <c r="C1044" s="244"/>
      <c r="D1044" s="26"/>
      <c r="E1044" s="26"/>
      <c r="F1044" s="26"/>
      <c r="G1044" s="26"/>
      <c r="H1044" s="5"/>
    </row>
    <row r="1045" spans="1:46" ht="14.25" customHeight="1">
      <c r="C1045" s="244"/>
      <c r="D1045" s="26"/>
      <c r="E1045" s="26"/>
      <c r="F1045" s="26"/>
      <c r="G1045" s="26"/>
      <c r="H1045" s="5"/>
    </row>
    <row r="1046" spans="1:46" ht="14.25" customHeight="1">
      <c r="C1046" s="244"/>
      <c r="D1046" s="26"/>
      <c r="E1046" s="26"/>
      <c r="F1046" s="26"/>
      <c r="G1046" s="26"/>
      <c r="H1046" s="5"/>
    </row>
    <row r="1047" spans="1:46" s="8" customFormat="1">
      <c r="B1047" s="550" t="str">
        <f>TITLE!C23</f>
        <v>Полотна збірні: ЛІСА</v>
      </c>
      <c r="C1047" s="550"/>
      <c r="D1047" s="117"/>
      <c r="E1047" s="117"/>
      <c r="F1047" s="117"/>
      <c r="G1047" s="117"/>
      <c r="H1047" s="552"/>
      <c r="I1047" s="552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544" t="str">
        <f>IF($C$1="ENG",CONCATENATE("up to: ",B974),CONCATENATE("вгору до: ",B974))</f>
        <v>вгору до: Полотна збірні: НІКА</v>
      </c>
      <c r="U1047" s="544"/>
      <c r="V1047" s="544"/>
      <c r="W1047" s="544"/>
      <c r="AN1047" s="279"/>
      <c r="AO1047" s="279"/>
      <c r="AP1047" s="279"/>
      <c r="AQ1047" s="279"/>
      <c r="AR1047" s="279"/>
      <c r="AS1047" s="279"/>
      <c r="AT1047" s="279"/>
    </row>
    <row r="1048" spans="1:46" s="8" customFormat="1" ht="5.0999999999999996" customHeight="1">
      <c r="B1048" s="116"/>
      <c r="C1048" s="418"/>
      <c r="D1048" s="9"/>
      <c r="E1048" s="9"/>
      <c r="F1048" s="9"/>
      <c r="G1048" s="9"/>
      <c r="H1048" s="119"/>
      <c r="I1048" s="119"/>
      <c r="T1048" s="114"/>
      <c r="U1048" s="114"/>
      <c r="V1048" s="114"/>
      <c r="W1048" s="114"/>
      <c r="AN1048" s="279"/>
      <c r="AO1048" s="279"/>
      <c r="AP1048" s="279"/>
      <c r="AQ1048" s="279"/>
      <c r="AR1048" s="279"/>
      <c r="AS1048" s="279"/>
      <c r="AT1048" s="279"/>
    </row>
    <row r="1049" spans="1:46" s="8" customFormat="1" ht="12.75" customHeight="1">
      <c r="B1049" s="556" t="str">
        <f>IF($C$1="ENG","model","модель")</f>
        <v>модель</v>
      </c>
      <c r="C1049" s="121" t="str">
        <f>IF($C$1="ENG","cover:","покриття:")</f>
        <v>покриття:</v>
      </c>
      <c r="D1049" s="538" t="str">
        <f>IF($C$1="ENG","Verto-CELL","Verto-CELL")</f>
        <v>Verto-CELL</v>
      </c>
      <c r="E1049" s="539"/>
      <c r="F1049" s="538" t="str">
        <f>IF($C$1="ENG","UNI-MAT","UNI-MAT")</f>
        <v>UNI-MAT</v>
      </c>
      <c r="G1049" s="539"/>
      <c r="H1049" s="538" t="str">
        <f>IF($C$1="ENG","RESIST","RESIST")</f>
        <v>RESIST</v>
      </c>
      <c r="I1049" s="539"/>
      <c r="J1049" s="538" t="str">
        <f>IF($C$1="ENG","Verto LINE-3D","Verto LINE-3D")</f>
        <v>Verto LINE-3D</v>
      </c>
      <c r="K1049" s="539"/>
      <c r="L1049" s="538" t="str">
        <f>IF($C$1="ENG","ECO Shpon","ЕКО Шпон")</f>
        <v>ЕКО Шпон</v>
      </c>
      <c r="M1049" s="539"/>
      <c r="P1049" s="1"/>
      <c r="Q1049" s="1"/>
      <c r="T1049" s="114"/>
      <c r="U1049" s="114"/>
      <c r="V1049" s="114"/>
      <c r="W1049" s="114"/>
      <c r="AN1049" s="279"/>
      <c r="AO1049" s="279"/>
      <c r="AP1049" s="279"/>
      <c r="AQ1049" s="279"/>
      <c r="AR1049" s="279"/>
      <c r="AS1049" s="279"/>
      <c r="AT1049" s="279"/>
    </row>
    <row r="1050" spans="1:46" s="8" customFormat="1" ht="26.25" customHeight="1">
      <c r="B1050" s="557"/>
      <c r="C1050" s="122" t="str">
        <f>IF($C$1="ENG","filling:","заповнення:")</f>
        <v>заповнення:</v>
      </c>
      <c r="D1050" s="540" t="str">
        <f>IF($C$1="ENG","softwood","клеєний сосновий брус")</f>
        <v>клеєний сосновий брус</v>
      </c>
      <c r="E1050" s="541"/>
      <c r="F1050" s="540" t="str">
        <f>IF($C$1="ENG","softwood","клеєний сосновий брус")</f>
        <v>клеєний сосновий брус</v>
      </c>
      <c r="G1050" s="541"/>
      <c r="H1050" s="540" t="str">
        <f>IF($C$1="ENG","softwood","клеєний сосновий брус")</f>
        <v>клеєний сосновий брус</v>
      </c>
      <c r="I1050" s="541"/>
      <c r="J1050" s="540" t="str">
        <f>IF($C$1="ENG","softwood","клеєний сосновий брус")</f>
        <v>клеєний сосновий брус</v>
      </c>
      <c r="K1050" s="541"/>
      <c r="L1050" s="540" t="str">
        <f>IF($C$1="ENG","softwood","клеєний сосновий брус")</f>
        <v>клеєний сосновий брус</v>
      </c>
      <c r="M1050" s="541"/>
      <c r="P1050" s="1"/>
      <c r="Q1050" s="1"/>
      <c r="T1050" s="114"/>
      <c r="U1050" s="114"/>
      <c r="V1050" s="114"/>
      <c r="W1050" s="114"/>
      <c r="AD1050" s="381">
        <f>AD1052/AC1052-1</f>
        <v>0.10321489001692052</v>
      </c>
      <c r="AE1050" s="381">
        <f>AE1052/AD1052-1</f>
        <v>2.914110429447847E-2</v>
      </c>
      <c r="AF1050" s="381">
        <f>AF1052/AE1052-1</f>
        <v>7.6005961251862875E-2</v>
      </c>
      <c r="AG1050" s="381">
        <f>AG1052/AF1052-1</f>
        <v>4.8476454293628901E-2</v>
      </c>
      <c r="AN1050" s="279"/>
      <c r="AO1050" s="279"/>
      <c r="AP1050" s="279"/>
      <c r="AQ1050" s="279"/>
      <c r="AR1050" s="279"/>
      <c r="AS1050" s="279"/>
      <c r="AT1050" s="279"/>
    </row>
    <row r="1051" spans="1:46" ht="12.75" customHeight="1">
      <c r="A1051" s="8"/>
      <c r="B1051" s="558"/>
      <c r="C1051" s="123" t="str">
        <f>IF($C$1="ENG","glazing:","скління:")</f>
        <v>скління:</v>
      </c>
      <c r="D1051" s="542" t="str">
        <f>IF($C$1="ENG","Satin","Сатин")</f>
        <v>Сатин</v>
      </c>
      <c r="E1051" s="543"/>
      <c r="F1051" s="542" t="str">
        <f>IF($C$1="ENG","Satin","Сатин")</f>
        <v>Сатин</v>
      </c>
      <c r="G1051" s="543"/>
      <c r="H1051" s="542" t="str">
        <f>IF($C$1="ENG","Satin","Сатин")</f>
        <v>Сатин</v>
      </c>
      <c r="I1051" s="543"/>
      <c r="J1051" s="542" t="str">
        <f>IF($C$1="ENG","Satin","Сатин")</f>
        <v>Сатин</v>
      </c>
      <c r="K1051" s="543"/>
      <c r="L1051" s="542" t="str">
        <f>IF($C$1="ENG","Satin","Сатин")</f>
        <v>Сатин</v>
      </c>
      <c r="M1051" s="543"/>
    </row>
    <row r="1052" spans="1:46" ht="35.1" customHeight="1">
      <c r="A1052" s="8"/>
      <c r="B1052" s="16" t="s">
        <v>25</v>
      </c>
      <c r="C1052" s="17"/>
      <c r="D1052" s="18">
        <f>IF(AC1052="","",(1-$W$2)*(AC1052/1.2))</f>
        <v>4925</v>
      </c>
      <c r="E1052" s="66">
        <f>IF($W$5=0.2,D1052*1.2,D1052)/$W$4</f>
        <v>5910</v>
      </c>
      <c r="F1052" s="18">
        <f>IF(AD1052="","",(1-$W$2)*(AD1052/1.2))</f>
        <v>5433.3333333333339</v>
      </c>
      <c r="G1052" s="66">
        <f>IF($W$5=0.2,F1052*1.2,F1052)/$W$4</f>
        <v>6520.0000000000009</v>
      </c>
      <c r="H1052" s="18">
        <f>IF(AE1052="","",(1-$W$2)*(AE1052/1.2))</f>
        <v>5591.666666666667</v>
      </c>
      <c r="I1052" s="66">
        <f>IF($W$5=0.2,H1052*1.2,H1052)/$W$4</f>
        <v>6710</v>
      </c>
      <c r="J1052" s="18">
        <f>IF(AF1052="","",(1-$W$2)*(AF1052/1.2))</f>
        <v>6016.666666666667</v>
      </c>
      <c r="K1052" s="66">
        <f>IF($W$5=0.2,J1052*1.2,J1052)/$W$4</f>
        <v>7220</v>
      </c>
      <c r="L1052" s="18">
        <f>IF(AG1052="","",(1-$W$2)*(AG1052/1.2))</f>
        <v>6308.3333333333339</v>
      </c>
      <c r="M1052" s="66">
        <f>IF($W$5=0.2,L1052*1.2,L1052)/$W$4</f>
        <v>7570</v>
      </c>
      <c r="N1052" s="103"/>
      <c r="R1052" s="103"/>
      <c r="T1052" s="103"/>
      <c r="U1052" s="20"/>
      <c r="V1052" s="103"/>
      <c r="W1052" s="20"/>
      <c r="X1052" s="103"/>
      <c r="Y1052" s="103"/>
      <c r="Z1052" s="103"/>
      <c r="AA1052" s="103"/>
      <c r="AB1052" s="103"/>
      <c r="AC1052" s="331">
        <v>5910</v>
      </c>
      <c r="AD1052" s="389">
        <v>6520</v>
      </c>
      <c r="AE1052" s="331">
        <v>6710</v>
      </c>
      <c r="AF1052" s="331">
        <v>7220</v>
      </c>
      <c r="AG1052" s="331">
        <v>7570</v>
      </c>
      <c r="AH1052" s="288">
        <v>5910</v>
      </c>
      <c r="AI1052" s="396">
        <f>AH1052/AC1052-1</f>
        <v>0</v>
      </c>
      <c r="AJ1052" s="288">
        <v>6520</v>
      </c>
      <c r="AK1052" s="288">
        <f>AJ1052/AD1052-1</f>
        <v>0</v>
      </c>
      <c r="AL1052" s="288">
        <v>6710</v>
      </c>
      <c r="AM1052" s="288">
        <f>AL1052/AE1052-1</f>
        <v>0</v>
      </c>
      <c r="AN1052" s="288">
        <v>7220</v>
      </c>
      <c r="AO1052" s="288">
        <f>AN1052/AF1052-1</f>
        <v>0</v>
      </c>
      <c r="AP1052" s="288">
        <v>7570</v>
      </c>
      <c r="AQ1052" s="288">
        <f>AP1052/AG1052-1</f>
        <v>0</v>
      </c>
    </row>
    <row r="1053" spans="1:46" ht="35.1" customHeight="1">
      <c r="A1053" s="8"/>
      <c r="B1053" s="23" t="s">
        <v>39</v>
      </c>
      <c r="C1053" s="24"/>
      <c r="D1053" s="25">
        <f>IF(AC1053="","",(1-$W$2)*(AC1053/1.2))</f>
        <v>4925</v>
      </c>
      <c r="E1053" s="69">
        <f>IF($W$5=0.2,D1053*1.2,D1053)/$W$4</f>
        <v>5910</v>
      </c>
      <c r="F1053" s="25">
        <f>IF(AD1053="","",(1-$W$2)*(AD1053/1.2))</f>
        <v>5433.3333333333339</v>
      </c>
      <c r="G1053" s="69">
        <f>IF($W$5=0.2,F1053*1.2,F1053)/$W$4</f>
        <v>6520.0000000000009</v>
      </c>
      <c r="H1053" s="25">
        <f>IF(AE1053="","",(1-$W$2)*(AE1053/1.2))</f>
        <v>5591.666666666667</v>
      </c>
      <c r="I1053" s="69">
        <f>IF($W$5=0.2,H1053*1.2,H1053)/$W$4</f>
        <v>6710</v>
      </c>
      <c r="J1053" s="25">
        <f>IF(AF1053="","",(1-$W$2)*(AF1053/1.2))</f>
        <v>6016.666666666667</v>
      </c>
      <c r="K1053" s="69">
        <f>IF($W$5=0.2,J1053*1.2,J1053)/$W$4</f>
        <v>7220</v>
      </c>
      <c r="L1053" s="25">
        <f>IF(AG1053="","",(1-$W$2)*(AG1053/1.2))</f>
        <v>6308.3333333333339</v>
      </c>
      <c r="M1053" s="69">
        <f>IF($W$5=0.2,L1053*1.2,L1053)/$W$4</f>
        <v>7570</v>
      </c>
      <c r="N1053" s="103"/>
      <c r="R1053" s="103"/>
      <c r="T1053" s="103"/>
      <c r="U1053" s="20"/>
      <c r="V1053" s="103"/>
      <c r="W1053" s="20"/>
      <c r="X1053" s="103"/>
      <c r="Y1053" s="103"/>
      <c r="Z1053" s="103"/>
      <c r="AA1053" s="103"/>
      <c r="AB1053" s="103"/>
      <c r="AC1053" s="331">
        <v>5910</v>
      </c>
      <c r="AD1053" s="389">
        <v>6520</v>
      </c>
      <c r="AE1053" s="331">
        <v>6710</v>
      </c>
      <c r="AF1053" s="331">
        <v>7220</v>
      </c>
      <c r="AG1053" s="331">
        <v>7570</v>
      </c>
      <c r="AH1053" s="288">
        <v>5910</v>
      </c>
      <c r="AI1053" s="396">
        <f>AH1053/AC1053-1</f>
        <v>0</v>
      </c>
      <c r="AJ1053" s="288">
        <v>6520</v>
      </c>
      <c r="AK1053" s="288">
        <f>AJ1053/AD1053-1</f>
        <v>0</v>
      </c>
      <c r="AL1053" s="288">
        <v>6710</v>
      </c>
      <c r="AM1053" s="288">
        <f>AL1053/AE1053-1</f>
        <v>0</v>
      </c>
      <c r="AN1053" s="288">
        <v>7220</v>
      </c>
      <c r="AO1053" s="288">
        <f>AN1053/AF1053-1</f>
        <v>0</v>
      </c>
      <c r="AP1053" s="288">
        <v>7570</v>
      </c>
      <c r="AQ1053" s="288">
        <f>AP1053/AG1053-1</f>
        <v>0</v>
      </c>
    </row>
    <row r="1054" spans="1:46">
      <c r="C1054" s="244"/>
      <c r="D1054" s="26"/>
      <c r="E1054" s="57"/>
      <c r="F1054" s="26"/>
      <c r="G1054" s="57"/>
      <c r="H1054" s="10"/>
      <c r="I1054" s="8"/>
      <c r="J1054" s="8"/>
      <c r="K1054" s="8"/>
    </row>
    <row r="1055" spans="1:46">
      <c r="B1055" s="211" t="str">
        <f>IF($C$1="ENG","For additonal charge:","Послуги за додаткову плату:")</f>
        <v>Послуги за додаткову плату:</v>
      </c>
      <c r="C1055" s="419"/>
      <c r="D1055" s="212"/>
      <c r="E1055" s="213"/>
      <c r="F1055" s="26"/>
      <c r="G1055" s="57"/>
      <c r="H1055" s="10"/>
      <c r="I1055" s="8"/>
      <c r="J1055" s="8"/>
      <c r="K1055" s="8"/>
    </row>
    <row r="1056" spans="1:46" ht="5.0999999999999996" customHeight="1">
      <c r="B1056" s="27"/>
      <c r="C1056" s="244"/>
      <c r="D1056" s="26"/>
      <c r="E1056" s="57"/>
      <c r="F1056" s="26"/>
      <c r="G1056" s="57"/>
      <c r="H1056" s="10"/>
      <c r="I1056" s="8"/>
      <c r="J1056" s="8"/>
      <c r="K1056" s="8"/>
    </row>
    <row r="1057" spans="2:38">
      <c r="B1057" s="561" t="str">
        <f>IF($C$1="ENG","door leaf with width 100","полотно розміром 100")</f>
        <v>полотно розміром 100</v>
      </c>
      <c r="C1057" s="562"/>
      <c r="D1057" s="408">
        <f t="shared" ref="D1057:D1069" si="144">IF(AC1057="","",(1-$W$2)*(AC1057/1.2))</f>
        <v>600</v>
      </c>
      <c r="E1057" s="91">
        <f t="shared" ref="E1057:E1068" si="145">IF($W$5=0.2,D1057*1.2,D1057)/$W$4</f>
        <v>720</v>
      </c>
      <c r="F1057" s="26"/>
      <c r="G1057" s="26"/>
      <c r="H1057" s="10"/>
      <c r="I1057" s="8"/>
      <c r="J1057" s="8"/>
      <c r="K1057" s="8"/>
      <c r="AC1057" s="297">
        <v>720</v>
      </c>
      <c r="AD1057" s="297">
        <v>720</v>
      </c>
      <c r="AE1057" s="288"/>
      <c r="AF1057" s="288"/>
      <c r="AG1057" s="288"/>
      <c r="AH1057" s="288"/>
      <c r="AI1057" s="288"/>
      <c r="AJ1057" s="288"/>
      <c r="AK1057" s="288"/>
      <c r="AL1057" s="288"/>
    </row>
    <row r="1058" spans="2:38">
      <c r="B1058" s="561" t="str">
        <f>IF($C$1="ENG","Ventilation cut","вентиляційний підріз")</f>
        <v>вентиляційний підріз</v>
      </c>
      <c r="C1058" s="562"/>
      <c r="D1058" s="403">
        <f t="shared" si="144"/>
        <v>141.66666666666669</v>
      </c>
      <c r="E1058" s="66">
        <f t="shared" si="145"/>
        <v>170.00000000000003</v>
      </c>
      <c r="F1058" s="26"/>
      <c r="G1058" s="26"/>
      <c r="I1058" s="59"/>
      <c r="J1058" s="28"/>
      <c r="AC1058" s="297">
        <v>170</v>
      </c>
      <c r="AD1058" s="297">
        <v>170</v>
      </c>
      <c r="AE1058" s="288"/>
      <c r="AF1058" s="288"/>
      <c r="AG1058" s="288"/>
      <c r="AH1058" s="288"/>
      <c r="AI1058" s="288"/>
      <c r="AJ1058" s="288"/>
      <c r="AK1058" s="288"/>
      <c r="AL1058" s="288"/>
    </row>
    <row r="1059" spans="2:38">
      <c r="B1059" s="554" t="str">
        <f>IF($C$1="ENG","glazing Graphite / Bronze","скло Графіт / Бронза")</f>
        <v>скло Графіт / Бронза</v>
      </c>
      <c r="C1059" s="555"/>
      <c r="D1059" s="405">
        <f t="shared" si="144"/>
        <v>458.33333333333337</v>
      </c>
      <c r="E1059" s="92">
        <f t="shared" si="145"/>
        <v>550</v>
      </c>
      <c r="F1059" s="26"/>
      <c r="G1059" s="26"/>
      <c r="H1059" s="5"/>
      <c r="AC1059" s="297">
        <v>550</v>
      </c>
      <c r="AD1059" s="297">
        <v>550</v>
      </c>
      <c r="AE1059" s="288"/>
      <c r="AF1059" s="288"/>
      <c r="AG1059" s="288"/>
      <c r="AH1059" s="288"/>
      <c r="AI1059" s="288"/>
      <c r="AJ1059" s="288"/>
      <c r="AK1059" s="288"/>
      <c r="AL1059" s="288"/>
    </row>
    <row r="1060" spans="2:38">
      <c r="B1060" s="554" t="str">
        <f>IF($C$1="ENG","glazing Lacobel black ","скло Lacobel чорне")</f>
        <v>скло Lacobel чорне</v>
      </c>
      <c r="C1060" s="555"/>
      <c r="D1060" s="405">
        <f t="shared" si="144"/>
        <v>458.33333333333337</v>
      </c>
      <c r="E1060" s="92">
        <f>IF($W$5=0.2,D1060*1.2,D1060)/$W$4</f>
        <v>550</v>
      </c>
      <c r="F1060" s="26"/>
      <c r="G1060" s="26"/>
      <c r="H1060" s="5"/>
      <c r="AC1060" s="297">
        <v>550</v>
      </c>
      <c r="AD1060" s="297">
        <v>550</v>
      </c>
      <c r="AE1060" s="288"/>
      <c r="AF1060" s="288"/>
      <c r="AG1060" s="288"/>
      <c r="AH1060" s="288"/>
      <c r="AI1060" s="288"/>
      <c r="AJ1060" s="288"/>
      <c r="AK1060" s="288"/>
      <c r="AL1060" s="288"/>
    </row>
    <row r="1061" spans="2:38">
      <c r="B1061" s="554" t="str">
        <f>IF($C$1="ENG","door lock Soft","замок Soft")</f>
        <v>замок Soft</v>
      </c>
      <c r="C1061" s="555"/>
      <c r="D1061" s="405">
        <f t="shared" si="144"/>
        <v>458.33333333333337</v>
      </c>
      <c r="E1061" s="92">
        <f t="shared" si="145"/>
        <v>550</v>
      </c>
      <c r="F1061" s="26"/>
      <c r="G1061" s="26"/>
      <c r="H1061" s="5"/>
      <c r="AC1061" s="297">
        <v>550</v>
      </c>
      <c r="AD1061" s="297">
        <v>550</v>
      </c>
      <c r="AE1061" s="288"/>
      <c r="AF1061" s="288"/>
      <c r="AG1061" s="288"/>
      <c r="AH1061" s="288"/>
      <c r="AI1061" s="288"/>
      <c r="AJ1061" s="288"/>
      <c r="AK1061" s="288"/>
      <c r="AL1061" s="288"/>
    </row>
    <row r="1062" spans="2:38">
      <c r="B1062" s="554" t="str">
        <f>IF($C$1="ENG","door lock Soft black","замок Soft чорн.")</f>
        <v>замок Soft чорн.</v>
      </c>
      <c r="C1062" s="555"/>
      <c r="D1062" s="405">
        <f t="shared" ref="D1062" si="146">IF(AC1062="","",(1-$W$2)*(AC1062/1.2))</f>
        <v>566.66666666666674</v>
      </c>
      <c r="E1062" s="92">
        <f t="shared" ref="E1062" si="147">IF($W$5=0.2,D1062*1.2,D1062)/$W$4</f>
        <v>680.00000000000011</v>
      </c>
      <c r="F1062" s="26"/>
      <c r="G1062" s="26"/>
      <c r="H1062" s="5"/>
      <c r="AC1062" s="297">
        <v>680</v>
      </c>
      <c r="AD1062" s="297"/>
      <c r="AE1062" s="288"/>
      <c r="AF1062" s="288"/>
      <c r="AG1062" s="288"/>
      <c r="AH1062" s="288"/>
      <c r="AI1062" s="288"/>
      <c r="AJ1062" s="288"/>
      <c r="AK1062" s="288"/>
      <c r="AL1062" s="288"/>
    </row>
    <row r="1063" spans="2:38">
      <c r="B1063" s="554" t="str">
        <f>IF($C$1="ENG","door lock Magnet","замок Magnet")</f>
        <v>замок Magnet</v>
      </c>
      <c r="C1063" s="555"/>
      <c r="D1063" s="405">
        <f t="shared" si="144"/>
        <v>666.66666666666674</v>
      </c>
      <c r="E1063" s="92">
        <f t="shared" si="145"/>
        <v>800.00000000000011</v>
      </c>
      <c r="F1063" s="26"/>
      <c r="G1063" s="26"/>
      <c r="H1063" s="5"/>
      <c r="AC1063" s="297">
        <v>800</v>
      </c>
      <c r="AD1063" s="297">
        <v>800</v>
      </c>
      <c r="AE1063" s="288"/>
      <c r="AF1063" s="288"/>
      <c r="AG1063" s="288"/>
      <c r="AH1063" s="288"/>
      <c r="AI1063" s="288"/>
      <c r="AJ1063" s="288"/>
      <c r="AK1063" s="288"/>
      <c r="AL1063" s="288"/>
    </row>
    <row r="1064" spans="2:38">
      <c r="B1064" s="554" t="s">
        <v>66</v>
      </c>
      <c r="C1064" s="555"/>
      <c r="D1064" s="405">
        <f t="shared" ref="D1064" si="148">IF(AC1064="","",(1-$W$2)*(AC1064/1.2))</f>
        <v>833.33333333333337</v>
      </c>
      <c r="E1064" s="92">
        <f t="shared" ref="E1064" si="149">IF($W$5=0.2,D1064*1.2,D1064)/$W$4</f>
        <v>1000</v>
      </c>
      <c r="F1064" s="26"/>
      <c r="G1064" s="26"/>
      <c r="H1064" s="5"/>
      <c r="AC1064" s="297">
        <v>1000</v>
      </c>
      <c r="AD1064" s="297"/>
      <c r="AE1064" s="288"/>
      <c r="AF1064" s="288"/>
      <c r="AG1064" s="288"/>
      <c r="AH1064" s="288"/>
      <c r="AI1064" s="288"/>
      <c r="AJ1064" s="288"/>
      <c r="AK1064" s="288"/>
      <c r="AL1064" s="288"/>
    </row>
    <row r="1065" spans="2:38">
      <c r="B1065" s="554" t="str">
        <f>IF($C$1="ENG","door handle-lock (for sliding doors)","ручка-замок (для дверей купе)")</f>
        <v>ручка-замок (для дверей купе)</v>
      </c>
      <c r="C1065" s="555"/>
      <c r="D1065" s="403">
        <f t="shared" si="144"/>
        <v>466.66666666666669</v>
      </c>
      <c r="E1065" s="92">
        <f t="shared" si="145"/>
        <v>560</v>
      </c>
      <c r="F1065" s="26"/>
      <c r="G1065" s="26"/>
      <c r="I1065" s="11"/>
      <c r="J1065" s="11"/>
      <c r="K1065" s="19"/>
      <c r="AC1065" s="297">
        <v>560</v>
      </c>
      <c r="AD1065" s="297">
        <v>560</v>
      </c>
      <c r="AE1065" s="288"/>
      <c r="AF1065" s="288"/>
      <c r="AG1065" s="288"/>
      <c r="AH1065" s="288"/>
      <c r="AI1065" s="288"/>
      <c r="AJ1065" s="288"/>
      <c r="AK1065" s="288"/>
      <c r="AL1065" s="288"/>
    </row>
    <row r="1066" spans="2:38">
      <c r="B1066" s="554" t="str">
        <f>IF($C$1="ENG","cylinder incert","циліндр несиметричний")</f>
        <v>циліндр несиметричний</v>
      </c>
      <c r="C1066" s="555"/>
      <c r="D1066" s="403">
        <f t="shared" si="144"/>
        <v>325</v>
      </c>
      <c r="E1066" s="92">
        <f t="shared" si="145"/>
        <v>390</v>
      </c>
      <c r="F1066" s="26"/>
      <c r="G1066" s="26"/>
      <c r="AC1066" s="297">
        <v>390</v>
      </c>
      <c r="AD1066" s="297">
        <v>390</v>
      </c>
      <c r="AE1066" s="288"/>
      <c r="AF1066" s="288"/>
      <c r="AG1066" s="288"/>
      <c r="AH1066" s="288"/>
      <c r="AI1066" s="288"/>
      <c r="AJ1066" s="288"/>
      <c r="AK1066" s="288"/>
      <c r="AL1066" s="288"/>
    </row>
    <row r="1067" spans="2:38">
      <c r="B1067" s="554" t="str">
        <f>IF($C$1="ENG","door hindge Prestige (1 unit)","завіса Prestige (1 шт)")</f>
        <v>завіса Prestige (1 шт)</v>
      </c>
      <c r="C1067" s="555"/>
      <c r="D1067" s="406">
        <f t="shared" si="144"/>
        <v>216.66666666666669</v>
      </c>
      <c r="E1067" s="92">
        <f t="shared" si="145"/>
        <v>260</v>
      </c>
      <c r="F1067" s="26"/>
      <c r="G1067" s="26"/>
      <c r="AC1067" s="297">
        <v>260</v>
      </c>
      <c r="AD1067" s="297">
        <v>260</v>
      </c>
      <c r="AE1067" s="288"/>
      <c r="AF1067" s="288"/>
      <c r="AG1067" s="288"/>
      <c r="AH1067" s="288"/>
      <c r="AI1067" s="288"/>
      <c r="AJ1067" s="288"/>
      <c r="AK1067" s="288"/>
      <c r="AL1067" s="288"/>
    </row>
    <row r="1068" spans="2:38">
      <c r="B1068" s="554" t="str">
        <f>IF($C$1="ENG","door hinge caps (1 set)","накладка на завіси (1 к-т)")</f>
        <v>накладка на завіси (1 к-т)</v>
      </c>
      <c r="C1068" s="555"/>
      <c r="D1068" s="406">
        <f t="shared" si="144"/>
        <v>66.666666666666671</v>
      </c>
      <c r="E1068" s="92">
        <f t="shared" si="145"/>
        <v>80</v>
      </c>
      <c r="F1068" s="26"/>
      <c r="G1068" s="26"/>
      <c r="AC1068" s="297">
        <v>80</v>
      </c>
      <c r="AD1068" s="297">
        <v>80</v>
      </c>
      <c r="AE1068" s="288"/>
      <c r="AF1068" s="288"/>
      <c r="AG1068" s="288"/>
      <c r="AH1068" s="288"/>
      <c r="AI1068" s="288"/>
      <c r="AJ1068" s="288"/>
      <c r="AK1068" s="288"/>
      <c r="AL1068" s="288"/>
    </row>
    <row r="1069" spans="2:38">
      <c r="B1069" s="554" t="str">
        <f>IF($C$1="ENG","door handle","дверна ручка")</f>
        <v>дверна ручка</v>
      </c>
      <c r="C1069" s="555"/>
      <c r="D1069" s="407" t="str">
        <f t="shared" si="144"/>
        <v/>
      </c>
      <c r="E1069" s="246" t="str">
        <f>IF($C$1="ENG","see Handles Price","див. Таблицю Ручки")</f>
        <v>див. Таблицю Ручки</v>
      </c>
      <c r="F1069" s="26"/>
      <c r="G1069" s="26"/>
      <c r="AC1069" s="288"/>
      <c r="AD1069" s="288"/>
      <c r="AE1069" s="288"/>
      <c r="AF1069" s="288"/>
      <c r="AG1069" s="288"/>
      <c r="AH1069" s="288"/>
      <c r="AI1069" s="288"/>
      <c r="AJ1069" s="288"/>
      <c r="AK1069" s="288"/>
      <c r="AL1069" s="288"/>
    </row>
    <row r="1070" spans="2:38" ht="14.25" customHeight="1">
      <c r="C1070" s="244"/>
      <c r="D1070" s="26"/>
      <c r="E1070" s="26"/>
      <c r="F1070" s="26"/>
      <c r="G1070" s="26"/>
      <c r="H1070" s="5"/>
      <c r="T1070" s="536" t="str">
        <f>IF($C$1="ENG",CONCATENATE("down to: ",B1120),CONCATENATE("вниз до: ",B1120))</f>
        <v>вниз до: Полотна збірні: ЛАДА-КОНЦЕПТ</v>
      </c>
      <c r="U1070" s="536"/>
      <c r="V1070" s="536"/>
      <c r="W1070" s="536"/>
    </row>
    <row r="1071" spans="2:38" ht="14.25" customHeight="1">
      <c r="C1071" s="244"/>
      <c r="D1071" s="26"/>
      <c r="E1071" s="26"/>
      <c r="F1071" s="26"/>
      <c r="G1071" s="26"/>
      <c r="H1071" s="5"/>
    </row>
    <row r="1072" spans="2:38" ht="14.25" customHeight="1">
      <c r="C1072" s="244"/>
      <c r="D1072" s="26"/>
      <c r="E1072" s="26"/>
      <c r="F1072" s="26"/>
      <c r="G1072" s="26"/>
      <c r="H1072" s="5"/>
    </row>
    <row r="1073" spans="3:8" ht="14.25" customHeight="1">
      <c r="C1073" s="244"/>
      <c r="D1073" s="26"/>
      <c r="E1073" s="26"/>
      <c r="F1073" s="26"/>
      <c r="G1073" s="26"/>
      <c r="H1073" s="5"/>
    </row>
    <row r="1074" spans="3:8" ht="14.25" customHeight="1">
      <c r="C1074" s="244"/>
      <c r="D1074" s="26"/>
      <c r="E1074" s="26"/>
      <c r="F1074" s="26"/>
      <c r="G1074" s="26"/>
      <c r="H1074" s="5"/>
    </row>
    <row r="1075" spans="3:8" ht="14.25" customHeight="1">
      <c r="C1075" s="244"/>
      <c r="D1075" s="26"/>
      <c r="E1075" s="26"/>
      <c r="F1075" s="26"/>
      <c r="G1075" s="26"/>
      <c r="H1075" s="5"/>
    </row>
    <row r="1076" spans="3:8" ht="14.25" customHeight="1">
      <c r="C1076" s="244"/>
      <c r="D1076" s="26"/>
      <c r="E1076" s="26"/>
      <c r="F1076" s="26"/>
      <c r="G1076" s="26"/>
      <c r="H1076" s="5"/>
    </row>
    <row r="1077" spans="3:8" ht="14.25" customHeight="1">
      <c r="C1077" s="244"/>
      <c r="D1077" s="26"/>
      <c r="E1077" s="26"/>
      <c r="F1077" s="26"/>
      <c r="G1077" s="26"/>
      <c r="H1077" s="5"/>
    </row>
    <row r="1078" spans="3:8" ht="14.25" customHeight="1">
      <c r="C1078" s="244"/>
      <c r="D1078" s="26"/>
      <c r="E1078" s="26"/>
      <c r="F1078" s="26"/>
      <c r="G1078" s="26"/>
      <c r="H1078" s="5"/>
    </row>
    <row r="1079" spans="3:8" ht="14.25" customHeight="1">
      <c r="C1079" s="244"/>
      <c r="D1079" s="26"/>
      <c r="E1079" s="26"/>
      <c r="F1079" s="26"/>
      <c r="G1079" s="26"/>
      <c r="H1079" s="5"/>
    </row>
    <row r="1080" spans="3:8" ht="14.25" customHeight="1">
      <c r="C1080" s="244"/>
      <c r="D1080" s="26"/>
      <c r="E1080" s="26"/>
      <c r="F1080" s="26"/>
      <c r="G1080" s="26"/>
      <c r="H1080" s="5"/>
    </row>
    <row r="1081" spans="3:8" ht="14.25" customHeight="1">
      <c r="C1081" s="244"/>
      <c r="D1081" s="26"/>
      <c r="E1081" s="26"/>
      <c r="F1081" s="26"/>
      <c r="G1081" s="26"/>
      <c r="H1081" s="5"/>
    </row>
    <row r="1082" spans="3:8" ht="14.25" customHeight="1">
      <c r="C1082" s="244"/>
      <c r="D1082" s="26"/>
      <c r="E1082" s="26"/>
      <c r="F1082" s="26"/>
      <c r="G1082" s="26"/>
      <c r="H1082" s="5"/>
    </row>
    <row r="1083" spans="3:8" ht="14.25" customHeight="1">
      <c r="C1083" s="244"/>
      <c r="D1083" s="26"/>
      <c r="E1083" s="26"/>
      <c r="F1083" s="26"/>
      <c r="G1083" s="26"/>
      <c r="H1083" s="5"/>
    </row>
    <row r="1084" spans="3:8" ht="14.25" customHeight="1">
      <c r="C1084" s="244"/>
      <c r="D1084" s="26"/>
      <c r="E1084" s="26"/>
      <c r="F1084" s="26"/>
      <c r="G1084" s="26"/>
      <c r="H1084" s="5"/>
    </row>
    <row r="1085" spans="3:8" ht="14.25" customHeight="1">
      <c r="C1085" s="244"/>
      <c r="D1085" s="26"/>
      <c r="E1085" s="26"/>
      <c r="F1085" s="26"/>
      <c r="G1085" s="26"/>
      <c r="H1085" s="5"/>
    </row>
    <row r="1086" spans="3:8" ht="14.25" customHeight="1">
      <c r="C1086" s="244"/>
      <c r="D1086" s="26"/>
      <c r="E1086" s="26"/>
      <c r="F1086" s="26"/>
      <c r="G1086" s="26"/>
      <c r="H1086" s="5"/>
    </row>
    <row r="1087" spans="3:8" ht="14.25" customHeight="1">
      <c r="C1087" s="244"/>
      <c r="D1087" s="26"/>
      <c r="E1087" s="26"/>
      <c r="F1087" s="26"/>
      <c r="G1087" s="26"/>
      <c r="H1087" s="5"/>
    </row>
    <row r="1088" spans="3:8" ht="14.25" customHeight="1">
      <c r="C1088" s="244"/>
      <c r="D1088" s="26"/>
      <c r="E1088" s="26"/>
      <c r="F1088" s="26"/>
      <c r="G1088" s="26"/>
      <c r="H1088" s="5"/>
    </row>
    <row r="1089" spans="3:8" ht="14.25" customHeight="1">
      <c r="C1089" s="244"/>
      <c r="D1089" s="26"/>
      <c r="E1089" s="26"/>
      <c r="F1089" s="26"/>
      <c r="G1089" s="26"/>
      <c r="H1089" s="5"/>
    </row>
    <row r="1090" spans="3:8" ht="14.25" customHeight="1">
      <c r="C1090" s="244"/>
      <c r="D1090" s="26"/>
      <c r="E1090" s="26"/>
      <c r="F1090" s="26"/>
      <c r="G1090" s="26"/>
      <c r="H1090" s="5"/>
    </row>
    <row r="1091" spans="3:8" ht="14.25" customHeight="1">
      <c r="C1091" s="244"/>
      <c r="D1091" s="26"/>
      <c r="E1091" s="26"/>
      <c r="F1091" s="26"/>
      <c r="G1091" s="26"/>
      <c r="H1091" s="5"/>
    </row>
    <row r="1092" spans="3:8" ht="14.25" customHeight="1">
      <c r="C1092" s="244"/>
      <c r="D1092" s="26"/>
      <c r="E1092" s="26"/>
      <c r="F1092" s="26"/>
      <c r="G1092" s="26"/>
      <c r="H1092" s="5"/>
    </row>
    <row r="1093" spans="3:8" ht="14.25" customHeight="1">
      <c r="C1093" s="244"/>
      <c r="D1093" s="26"/>
      <c r="E1093" s="26"/>
      <c r="F1093" s="26"/>
      <c r="G1093" s="26"/>
      <c r="H1093" s="5"/>
    </row>
    <row r="1094" spans="3:8" ht="14.25" customHeight="1">
      <c r="C1094" s="244"/>
      <c r="D1094" s="26"/>
      <c r="E1094" s="26"/>
      <c r="F1094" s="26"/>
      <c r="G1094" s="26"/>
      <c r="H1094" s="5"/>
    </row>
    <row r="1095" spans="3:8" ht="14.25" customHeight="1">
      <c r="C1095" s="244"/>
      <c r="D1095" s="26"/>
      <c r="E1095" s="26"/>
      <c r="F1095" s="26"/>
      <c r="G1095" s="26"/>
      <c r="H1095" s="5"/>
    </row>
    <row r="1096" spans="3:8" ht="14.25" customHeight="1">
      <c r="C1096" s="244"/>
      <c r="D1096" s="26"/>
      <c r="E1096" s="26"/>
      <c r="F1096" s="26"/>
      <c r="G1096" s="26"/>
      <c r="H1096" s="5"/>
    </row>
    <row r="1097" spans="3:8" ht="14.25" customHeight="1">
      <c r="C1097" s="244"/>
      <c r="D1097" s="26"/>
      <c r="E1097" s="26"/>
      <c r="F1097" s="26"/>
      <c r="G1097" s="26"/>
      <c r="H1097" s="5"/>
    </row>
    <row r="1098" spans="3:8" ht="14.25" customHeight="1">
      <c r="C1098" s="244"/>
      <c r="D1098" s="26"/>
      <c r="E1098" s="26"/>
      <c r="F1098" s="26"/>
      <c r="G1098" s="26"/>
      <c r="H1098" s="5"/>
    </row>
    <row r="1099" spans="3:8" ht="14.25" customHeight="1">
      <c r="C1099" s="244"/>
      <c r="D1099" s="26"/>
      <c r="E1099" s="26"/>
      <c r="F1099" s="26"/>
      <c r="G1099" s="26"/>
      <c r="H1099" s="5"/>
    </row>
    <row r="1100" spans="3:8" ht="14.25" customHeight="1">
      <c r="C1100" s="244"/>
      <c r="D1100" s="26"/>
      <c r="E1100" s="26"/>
      <c r="F1100" s="26"/>
      <c r="G1100" s="26"/>
      <c r="H1100" s="5"/>
    </row>
    <row r="1101" spans="3:8" ht="14.25" customHeight="1">
      <c r="C1101" s="244"/>
      <c r="D1101" s="26"/>
      <c r="E1101" s="26"/>
      <c r="F1101" s="26"/>
      <c r="G1101" s="26"/>
      <c r="H1101" s="5"/>
    </row>
    <row r="1102" spans="3:8" ht="14.25" customHeight="1">
      <c r="C1102" s="244"/>
      <c r="D1102" s="26"/>
      <c r="E1102" s="26"/>
      <c r="F1102" s="26"/>
      <c r="G1102" s="26"/>
      <c r="H1102" s="5"/>
    </row>
    <row r="1103" spans="3:8" ht="14.25" customHeight="1">
      <c r="C1103" s="244"/>
      <c r="D1103" s="26"/>
      <c r="E1103" s="26"/>
      <c r="F1103" s="26"/>
      <c r="G1103" s="26"/>
      <c r="H1103" s="5"/>
    </row>
    <row r="1104" spans="3:8" ht="14.25" customHeight="1">
      <c r="C1104" s="244"/>
      <c r="D1104" s="26"/>
      <c r="E1104" s="26"/>
      <c r="F1104" s="26"/>
      <c r="G1104" s="26"/>
      <c r="H1104" s="5"/>
    </row>
    <row r="1105" spans="2:46" ht="14.25" customHeight="1">
      <c r="C1105" s="244"/>
      <c r="D1105" s="26"/>
      <c r="E1105" s="26"/>
      <c r="F1105" s="26"/>
      <c r="G1105" s="26"/>
      <c r="H1105" s="5"/>
    </row>
    <row r="1106" spans="2:46" ht="14.25" customHeight="1">
      <c r="C1106" s="244"/>
      <c r="D1106" s="26"/>
      <c r="E1106" s="26"/>
      <c r="F1106" s="26"/>
      <c r="G1106" s="26"/>
      <c r="H1106" s="5"/>
    </row>
    <row r="1107" spans="2:46" ht="14.25" customHeight="1">
      <c r="C1107" s="244"/>
      <c r="D1107" s="26"/>
      <c r="E1107" s="26"/>
      <c r="F1107" s="26"/>
      <c r="G1107" s="26"/>
      <c r="H1107" s="5"/>
    </row>
    <row r="1108" spans="2:46" ht="14.25" customHeight="1">
      <c r="C1108" s="244"/>
      <c r="D1108" s="26"/>
      <c r="E1108" s="26"/>
      <c r="F1108" s="26"/>
      <c r="G1108" s="26"/>
      <c r="H1108" s="5"/>
    </row>
    <row r="1109" spans="2:46" ht="14.25" customHeight="1">
      <c r="C1109" s="244"/>
      <c r="D1109" s="26"/>
      <c r="E1109" s="26"/>
      <c r="F1109" s="26"/>
      <c r="G1109" s="26"/>
      <c r="H1109" s="5"/>
    </row>
    <row r="1110" spans="2:46" ht="14.25" customHeight="1">
      <c r="C1110" s="244"/>
      <c r="D1110" s="26"/>
      <c r="E1110" s="26"/>
      <c r="F1110" s="26"/>
      <c r="G1110" s="26"/>
      <c r="H1110" s="5"/>
    </row>
    <row r="1111" spans="2:46" ht="14.25" customHeight="1">
      <c r="C1111" s="244"/>
      <c r="D1111" s="26"/>
      <c r="E1111" s="26"/>
      <c r="F1111" s="26"/>
      <c r="G1111" s="26"/>
      <c r="H1111" s="5"/>
    </row>
    <row r="1112" spans="2:46" ht="14.25" customHeight="1">
      <c r="C1112" s="244"/>
      <c r="D1112" s="26"/>
      <c r="E1112" s="26"/>
      <c r="F1112" s="26"/>
      <c r="G1112" s="26"/>
      <c r="H1112" s="5"/>
    </row>
    <row r="1113" spans="2:46" ht="14.25" customHeight="1">
      <c r="C1113" s="244"/>
      <c r="D1113" s="26"/>
      <c r="E1113" s="26"/>
      <c r="F1113" s="26"/>
      <c r="G1113" s="26"/>
      <c r="H1113" s="5"/>
    </row>
    <row r="1114" spans="2:46" ht="14.25" customHeight="1">
      <c r="C1114" s="244"/>
      <c r="D1114" s="26"/>
      <c r="E1114" s="26"/>
      <c r="F1114" s="26"/>
      <c r="G1114" s="26"/>
      <c r="H1114" s="5"/>
    </row>
    <row r="1115" spans="2:46" ht="14.25" customHeight="1">
      <c r="C1115" s="244"/>
      <c r="D1115" s="26"/>
      <c r="E1115" s="26"/>
      <c r="F1115" s="26"/>
      <c r="G1115" s="26"/>
      <c r="H1115" s="5"/>
    </row>
    <row r="1116" spans="2:46" ht="14.25" customHeight="1">
      <c r="C1116" s="244"/>
      <c r="D1116" s="26"/>
      <c r="E1116" s="26"/>
      <c r="F1116" s="26"/>
      <c r="G1116" s="26"/>
      <c r="H1116" s="5"/>
    </row>
    <row r="1117" spans="2:46" ht="14.25" customHeight="1">
      <c r="C1117" s="244"/>
      <c r="D1117" s="26"/>
      <c r="E1117" s="26"/>
      <c r="F1117" s="26"/>
      <c r="G1117" s="26"/>
      <c r="H1117" s="5"/>
    </row>
    <row r="1118" spans="2:46" ht="14.25" customHeight="1">
      <c r="C1118" s="244"/>
      <c r="D1118" s="26"/>
      <c r="E1118" s="26"/>
      <c r="F1118" s="26"/>
      <c r="G1118" s="26"/>
      <c r="H1118" s="5"/>
    </row>
    <row r="1119" spans="2:46" ht="14.25" customHeight="1">
      <c r="C1119" s="244"/>
      <c r="D1119" s="26"/>
      <c r="E1119" s="26"/>
      <c r="F1119" s="26"/>
      <c r="G1119" s="26"/>
      <c r="H1119" s="5"/>
    </row>
    <row r="1120" spans="2:46" s="8" customFormat="1" ht="12.75" customHeight="1">
      <c r="B1120" s="550" t="str">
        <f>TITLE!$C$24</f>
        <v>Полотна збірні: ЛАДА-КОНЦЕПТ</v>
      </c>
      <c r="C1120" s="550"/>
      <c r="D1120" s="117"/>
      <c r="E1120" s="117"/>
      <c r="F1120" s="117"/>
      <c r="G1120" s="117"/>
      <c r="H1120" s="552"/>
      <c r="I1120" s="552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544" t="str">
        <f>IF($C$1="ENG",CONCATENATE("up to: ",B1047),CONCATENATE("вгору до: ",B1047))</f>
        <v>вгору до: Полотна збірні: ЛІСА</v>
      </c>
      <c r="U1120" s="544"/>
      <c r="V1120" s="544"/>
      <c r="W1120" s="544"/>
      <c r="AN1120" s="279"/>
      <c r="AO1120" s="279"/>
      <c r="AP1120" s="279"/>
      <c r="AQ1120" s="279"/>
      <c r="AR1120" s="279"/>
      <c r="AS1120" s="279"/>
      <c r="AT1120" s="279"/>
    </row>
    <row r="1121" spans="1:46" s="8" customFormat="1" ht="5.0999999999999996" customHeight="1">
      <c r="B1121" s="116"/>
      <c r="C1121" s="418"/>
      <c r="D1121" s="9"/>
      <c r="E1121" s="9"/>
      <c r="F1121" s="9"/>
      <c r="G1121" s="9"/>
      <c r="H1121" s="119"/>
      <c r="I1121" s="119"/>
      <c r="T1121" s="114"/>
      <c r="U1121" s="114"/>
      <c r="V1121" s="114"/>
      <c r="W1121" s="114"/>
      <c r="AN1121" s="279"/>
      <c r="AO1121" s="279"/>
      <c r="AP1121" s="279"/>
      <c r="AQ1121" s="279"/>
      <c r="AR1121" s="279"/>
      <c r="AS1121" s="279"/>
      <c r="AT1121" s="279"/>
    </row>
    <row r="1122" spans="1:46" s="8" customFormat="1" ht="12.75" customHeight="1">
      <c r="B1122" s="556" t="str">
        <f>IF($C$1="ENG","model","модель")</f>
        <v>модель</v>
      </c>
      <c r="C1122" s="121" t="str">
        <f>IF($C$1="ENG","cover:","покриття:")</f>
        <v>покриття:</v>
      </c>
      <c r="D1122" s="538" t="str">
        <f>IF($C$1="ENG","Verto-CELL","Verto-CELL")</f>
        <v>Verto-CELL</v>
      </c>
      <c r="E1122" s="539"/>
      <c r="F1122" s="538" t="str">
        <f>IF($C$1="ENG","UNI-MAT","UNI-MAT")</f>
        <v>UNI-MAT</v>
      </c>
      <c r="G1122" s="539"/>
      <c r="H1122" s="538" t="str">
        <f>IF($C$1="ENG","RESIST","RESIST")</f>
        <v>RESIST</v>
      </c>
      <c r="I1122" s="539"/>
      <c r="J1122" s="538" t="str">
        <f>IF($C$1="ENG","Verto LINE-3D","Verto LINE-3D")</f>
        <v>Verto LINE-3D</v>
      </c>
      <c r="K1122" s="539"/>
      <c r="L1122" s="538" t="str">
        <f>IF($C$1="ENG","ECO Shpon","ЕКО Шпон")</f>
        <v>ЕКО Шпон</v>
      </c>
      <c r="M1122" s="539"/>
      <c r="P1122" s="83"/>
      <c r="Q1122" s="83"/>
      <c r="T1122" s="114"/>
      <c r="U1122" s="114"/>
      <c r="V1122" s="114"/>
      <c r="W1122" s="114"/>
      <c r="AN1122" s="279"/>
      <c r="AO1122" s="279"/>
      <c r="AP1122" s="279"/>
      <c r="AQ1122" s="279"/>
      <c r="AR1122" s="279"/>
      <c r="AS1122" s="279"/>
      <c r="AT1122" s="279"/>
    </row>
    <row r="1123" spans="1:46" s="8" customFormat="1" ht="27.75" customHeight="1">
      <c r="B1123" s="557"/>
      <c r="C1123" s="122" t="str">
        <f>IF($C$1="ENG","filling:","заповнення:")</f>
        <v>заповнення:</v>
      </c>
      <c r="D1123" s="540" t="str">
        <f>IF($C$1="ENG","softwood","клеєний сосновий брус")</f>
        <v>клеєний сосновий брус</v>
      </c>
      <c r="E1123" s="541"/>
      <c r="F1123" s="540" t="str">
        <f>IF($C$1="ENG","softwood","клеєний сосновий брус")</f>
        <v>клеєний сосновий брус</v>
      </c>
      <c r="G1123" s="541"/>
      <c r="H1123" s="540" t="str">
        <f>IF($C$1="ENG","softwood","клеєний сосновий брус")</f>
        <v>клеєний сосновий брус</v>
      </c>
      <c r="I1123" s="541"/>
      <c r="J1123" s="540" t="str">
        <f>IF($C$1="ENG","softwood","клеєний сосновий брус")</f>
        <v>клеєний сосновий брус</v>
      </c>
      <c r="K1123" s="541"/>
      <c r="L1123" s="540" t="str">
        <f>IF($C$1="ENG","softwood","клеєний сосновий брус")</f>
        <v>клеєний сосновий брус</v>
      </c>
      <c r="M1123" s="541"/>
      <c r="P1123" s="83"/>
      <c r="Q1123" s="83"/>
      <c r="T1123" s="114"/>
      <c r="U1123" s="114"/>
      <c r="V1123" s="114"/>
      <c r="W1123" s="114"/>
      <c r="AD1123" s="381">
        <f>AD1125/AC1125-1</f>
        <v>0.10894308943089426</v>
      </c>
      <c r="AE1123" s="381">
        <f>AE1125/AD1125-1</f>
        <v>3.0791788856304958E-2</v>
      </c>
      <c r="AF1123" s="381">
        <f>AF1125/AE1125-1</f>
        <v>9.1038406827880447E-2</v>
      </c>
      <c r="AG1123" s="381">
        <f>AG1125/AF1125-1</f>
        <v>4.8239895697522739E-2</v>
      </c>
      <c r="AN1123" s="279"/>
      <c r="AO1123" s="279"/>
      <c r="AP1123" s="279"/>
      <c r="AQ1123" s="279"/>
      <c r="AR1123" s="279"/>
      <c r="AS1123" s="279"/>
      <c r="AT1123" s="279"/>
    </row>
    <row r="1124" spans="1:46" ht="12.75" customHeight="1">
      <c r="A1124" s="8"/>
      <c r="B1124" s="558"/>
      <c r="C1124" s="123" t="str">
        <f>IF($C$1="ENG","glazing:","скління:")</f>
        <v>скління:</v>
      </c>
      <c r="D1124" s="542" t="str">
        <f>IF($C$1="ENG","Satin","Сатин")</f>
        <v>Сатин</v>
      </c>
      <c r="E1124" s="543"/>
      <c r="F1124" s="542" t="str">
        <f>IF($C$1="ENG","Satin","Сатин")</f>
        <v>Сатин</v>
      </c>
      <c r="G1124" s="543"/>
      <c r="H1124" s="542" t="str">
        <f>IF($C$1="ENG","Satin","Сатин")</f>
        <v>Сатин</v>
      </c>
      <c r="I1124" s="543"/>
      <c r="J1124" s="542" t="str">
        <f>IF($C$1="ENG","Satin","Сатин")</f>
        <v>Сатин</v>
      </c>
      <c r="K1124" s="543"/>
      <c r="L1124" s="542" t="str">
        <f>IF($C$1="ENG","Satin","Сатин")</f>
        <v>Сатин</v>
      </c>
      <c r="M1124" s="543"/>
      <c r="N1124" s="11"/>
      <c r="O1124" s="11"/>
      <c r="P1124" s="83"/>
      <c r="Q1124" s="83"/>
      <c r="R1124" s="11"/>
      <c r="S1124" s="11"/>
      <c r="T1124" s="11"/>
    </row>
    <row r="1125" spans="1:46" ht="35.1" customHeight="1">
      <c r="A1125" s="8"/>
      <c r="B1125" s="16" t="s">
        <v>25</v>
      </c>
      <c r="C1125" s="17"/>
      <c r="D1125" s="18">
        <f t="shared" ref="D1125:D1130" si="150">IF(AC1125="","",(1-$W$2)*(AC1125/1.2))</f>
        <v>5125</v>
      </c>
      <c r="E1125" s="66">
        <f t="shared" ref="E1125:E1130" si="151">IF($W$5=0.2,D1125*1.2,D1125)/$W$4</f>
        <v>6150</v>
      </c>
      <c r="F1125" s="18">
        <f t="shared" ref="F1125:F1130" si="152">IF(AD1125="","",(1-$W$2)*(AD1125/1.2))</f>
        <v>5683.3333333333339</v>
      </c>
      <c r="G1125" s="66">
        <f t="shared" ref="G1125:G1130" si="153">IF($W$5=0.2,F1125*1.2,F1125)/$W$4</f>
        <v>6820.0000000000009</v>
      </c>
      <c r="H1125" s="18">
        <f t="shared" ref="H1125:H1130" si="154">IF(AE1125="","",(1-$W$2)*(AE1125/1.2))</f>
        <v>5858.3333333333339</v>
      </c>
      <c r="I1125" s="66">
        <f t="shared" ref="I1125:I1130" si="155">IF($W$5=0.2,H1125*1.2,H1125)/$W$4</f>
        <v>7030.0000000000009</v>
      </c>
      <c r="J1125" s="18">
        <f t="shared" ref="J1125:J1130" si="156">IF(AF1125="","",(1-$W$2)*(AF1125/1.2))</f>
        <v>6391.666666666667</v>
      </c>
      <c r="K1125" s="66">
        <f t="shared" ref="K1125:K1130" si="157">IF($W$5=0.2,J1125*1.2,J1125)/$W$4</f>
        <v>7670</v>
      </c>
      <c r="L1125" s="18">
        <f t="shared" ref="L1125:L1130" si="158">IF(AG1125="","",(1-$W$2)*(AG1125/1.2))</f>
        <v>6700</v>
      </c>
      <c r="M1125" s="66">
        <f t="shared" ref="M1125:M1130" si="159">IF($W$5=0.2,L1125*1.2,L1125)/$W$4</f>
        <v>8040</v>
      </c>
      <c r="N1125" s="289"/>
      <c r="O1125" s="8"/>
      <c r="P1125" s="83"/>
      <c r="Q1125" s="83"/>
      <c r="R1125" s="289"/>
      <c r="S1125" s="8"/>
      <c r="T1125" s="289"/>
      <c r="U1125" s="83"/>
      <c r="V1125" s="289"/>
      <c r="W1125" s="83"/>
      <c r="X1125" s="22"/>
      <c r="Y1125" s="22"/>
      <c r="Z1125" s="22"/>
      <c r="AA1125" s="22"/>
      <c r="AB1125" s="22"/>
      <c r="AC1125" s="331">
        <v>6150</v>
      </c>
      <c r="AD1125" s="389">
        <v>6820</v>
      </c>
      <c r="AE1125" s="331">
        <v>7030</v>
      </c>
      <c r="AF1125" s="331">
        <v>7670</v>
      </c>
      <c r="AG1125" s="331">
        <v>8040</v>
      </c>
      <c r="AH1125" s="288">
        <v>6150</v>
      </c>
      <c r="AI1125" s="288">
        <f>AH1125/AC1125-1</f>
        <v>0</v>
      </c>
      <c r="AJ1125" s="288">
        <v>6820</v>
      </c>
      <c r="AK1125" s="288">
        <f>AJ1125/AD1125-1</f>
        <v>0</v>
      </c>
      <c r="AL1125" s="288">
        <v>7030</v>
      </c>
      <c r="AM1125" s="288">
        <f>AL1125/AE1125-1</f>
        <v>0</v>
      </c>
      <c r="AN1125" s="288">
        <v>7670</v>
      </c>
      <c r="AO1125" s="288">
        <f>AN1125/AF1125-1</f>
        <v>0</v>
      </c>
      <c r="AP1125" s="288">
        <v>8040</v>
      </c>
      <c r="AQ1125" s="288">
        <f>AP1125/AG1125-1</f>
        <v>0</v>
      </c>
    </row>
    <row r="1126" spans="1:46" ht="35.1" customHeight="1">
      <c r="A1126" s="8"/>
      <c r="B1126" s="16" t="s">
        <v>19</v>
      </c>
      <c r="C1126" s="17"/>
      <c r="D1126" s="18">
        <f t="shared" si="150"/>
        <v>5308.3333333333339</v>
      </c>
      <c r="E1126" s="66">
        <f t="shared" si="151"/>
        <v>6370.0000000000009</v>
      </c>
      <c r="F1126" s="18">
        <f t="shared" si="152"/>
        <v>5900</v>
      </c>
      <c r="G1126" s="66">
        <f t="shared" si="153"/>
        <v>7080</v>
      </c>
      <c r="H1126" s="18">
        <f t="shared" si="154"/>
        <v>6083.3333333333339</v>
      </c>
      <c r="I1126" s="66">
        <f t="shared" si="155"/>
        <v>7300.0000000000009</v>
      </c>
      <c r="J1126" s="18">
        <f t="shared" si="156"/>
        <v>6516.666666666667</v>
      </c>
      <c r="K1126" s="66">
        <f t="shared" si="157"/>
        <v>7820</v>
      </c>
      <c r="L1126" s="18">
        <f t="shared" si="158"/>
        <v>6808.3333333333339</v>
      </c>
      <c r="M1126" s="66">
        <f t="shared" si="159"/>
        <v>8170</v>
      </c>
      <c r="N1126" s="289"/>
      <c r="O1126" s="8"/>
      <c r="P1126" s="83"/>
      <c r="Q1126" s="83"/>
      <c r="R1126" s="289"/>
      <c r="S1126" s="8"/>
      <c r="T1126" s="289"/>
      <c r="U1126" s="83"/>
      <c r="V1126" s="289"/>
      <c r="W1126" s="83"/>
      <c r="X1126" s="22"/>
      <c r="Y1126" s="22"/>
      <c r="Z1126" s="22"/>
      <c r="AA1126" s="22"/>
      <c r="AB1126" s="22"/>
      <c r="AC1126" s="331">
        <v>6370</v>
      </c>
      <c r="AD1126" s="389">
        <v>7080</v>
      </c>
      <c r="AE1126" s="331">
        <v>7300</v>
      </c>
      <c r="AF1126" s="331">
        <v>7820</v>
      </c>
      <c r="AG1126" s="331">
        <v>8170</v>
      </c>
      <c r="AH1126" s="288">
        <v>6370</v>
      </c>
      <c r="AI1126" s="288">
        <f t="shared" ref="AI1126:AI1130" si="160">AH1126/AC1126-1</f>
        <v>0</v>
      </c>
      <c r="AJ1126" s="288">
        <v>7080</v>
      </c>
      <c r="AK1126" s="288">
        <f t="shared" ref="AK1126:AK1130" si="161">AJ1126/AD1126-1</f>
        <v>0</v>
      </c>
      <c r="AL1126" s="288">
        <v>7300</v>
      </c>
      <c r="AM1126" s="288">
        <f t="shared" ref="AM1126:AM1130" si="162">AL1126/AE1126-1</f>
        <v>0</v>
      </c>
      <c r="AN1126" s="288">
        <v>7820</v>
      </c>
      <c r="AO1126" s="288">
        <f t="shared" ref="AO1126:AO1130" si="163">AN1126/AF1126-1</f>
        <v>0</v>
      </c>
      <c r="AP1126" s="288">
        <v>8170</v>
      </c>
      <c r="AQ1126" s="288">
        <f t="shared" ref="AQ1126:AQ1130" si="164">AP1126/AG1126-1</f>
        <v>0</v>
      </c>
    </row>
    <row r="1127" spans="1:46" ht="35.1" customHeight="1">
      <c r="A1127" s="8"/>
      <c r="B1127" s="16" t="s">
        <v>20</v>
      </c>
      <c r="C1127" s="17"/>
      <c r="D1127" s="18">
        <f t="shared" si="150"/>
        <v>5600</v>
      </c>
      <c r="E1127" s="66">
        <f t="shared" si="151"/>
        <v>6720</v>
      </c>
      <c r="F1127" s="18">
        <f t="shared" si="152"/>
        <v>6216.666666666667</v>
      </c>
      <c r="G1127" s="66">
        <f t="shared" si="153"/>
        <v>7460</v>
      </c>
      <c r="H1127" s="18">
        <f t="shared" si="154"/>
        <v>6400</v>
      </c>
      <c r="I1127" s="66">
        <f t="shared" si="155"/>
        <v>7680</v>
      </c>
      <c r="J1127" s="18">
        <f t="shared" si="156"/>
        <v>7125</v>
      </c>
      <c r="K1127" s="66">
        <f t="shared" si="157"/>
        <v>8550</v>
      </c>
      <c r="L1127" s="18">
        <f t="shared" si="158"/>
        <v>7175</v>
      </c>
      <c r="M1127" s="66">
        <f t="shared" si="159"/>
        <v>8610</v>
      </c>
      <c r="N1127" s="289"/>
      <c r="O1127" s="8"/>
      <c r="P1127" s="83"/>
      <c r="Q1127" s="83"/>
      <c r="R1127" s="289"/>
      <c r="S1127" s="8"/>
      <c r="T1127" s="289"/>
      <c r="U1127" s="83"/>
      <c r="V1127" s="289"/>
      <c r="W1127" s="83"/>
      <c r="X1127" s="22"/>
      <c r="Y1127" s="22"/>
      <c r="Z1127" s="22"/>
      <c r="AA1127" s="22"/>
      <c r="AB1127" s="22"/>
      <c r="AC1127" s="331">
        <v>6720</v>
      </c>
      <c r="AD1127" s="389">
        <v>7460</v>
      </c>
      <c r="AE1127" s="331">
        <v>7680</v>
      </c>
      <c r="AF1127" s="331">
        <v>8550</v>
      </c>
      <c r="AG1127" s="331">
        <v>8610</v>
      </c>
      <c r="AH1127" s="288">
        <v>6720</v>
      </c>
      <c r="AI1127" s="288">
        <f t="shared" si="160"/>
        <v>0</v>
      </c>
      <c r="AJ1127" s="288">
        <v>7460</v>
      </c>
      <c r="AK1127" s="288">
        <f t="shared" si="161"/>
        <v>0</v>
      </c>
      <c r="AL1127" s="288">
        <v>7680</v>
      </c>
      <c r="AM1127" s="288">
        <f t="shared" si="162"/>
        <v>0</v>
      </c>
      <c r="AN1127" s="288">
        <v>8550</v>
      </c>
      <c r="AO1127" s="288">
        <f t="shared" si="163"/>
        <v>0</v>
      </c>
      <c r="AP1127" s="288">
        <v>8610</v>
      </c>
      <c r="AQ1127" s="288">
        <f t="shared" si="164"/>
        <v>0</v>
      </c>
    </row>
    <row r="1128" spans="1:46" ht="35.1" customHeight="1">
      <c r="A1128" s="8"/>
      <c r="B1128" s="16" t="s">
        <v>8</v>
      </c>
      <c r="C1128" s="17"/>
      <c r="D1128" s="18">
        <f t="shared" si="150"/>
        <v>5308.3333333333339</v>
      </c>
      <c r="E1128" s="66">
        <f t="shared" si="151"/>
        <v>6370.0000000000009</v>
      </c>
      <c r="F1128" s="18">
        <f t="shared" si="152"/>
        <v>5900</v>
      </c>
      <c r="G1128" s="66">
        <f t="shared" si="153"/>
        <v>7080</v>
      </c>
      <c r="H1128" s="18">
        <f t="shared" si="154"/>
        <v>6083.3333333333339</v>
      </c>
      <c r="I1128" s="66">
        <f t="shared" si="155"/>
        <v>7300.0000000000009</v>
      </c>
      <c r="J1128" s="18">
        <f t="shared" si="156"/>
        <v>6516.666666666667</v>
      </c>
      <c r="K1128" s="66">
        <f t="shared" si="157"/>
        <v>7820</v>
      </c>
      <c r="L1128" s="18">
        <f t="shared" si="158"/>
        <v>6808.3333333333339</v>
      </c>
      <c r="M1128" s="66">
        <f t="shared" si="159"/>
        <v>8170</v>
      </c>
      <c r="N1128" s="289"/>
      <c r="O1128" s="83"/>
      <c r="P1128" s="83"/>
      <c r="Q1128" s="83"/>
      <c r="R1128" s="289"/>
      <c r="S1128" s="83"/>
      <c r="T1128" s="289"/>
      <c r="U1128" s="83"/>
      <c r="V1128" s="289"/>
      <c r="W1128" s="83"/>
      <c r="X1128" s="22"/>
      <c r="Y1128" s="22"/>
      <c r="Z1128" s="22"/>
      <c r="AA1128" s="22"/>
      <c r="AB1128" s="22"/>
      <c r="AC1128" s="331">
        <v>6370</v>
      </c>
      <c r="AD1128" s="389">
        <v>7080</v>
      </c>
      <c r="AE1128" s="331">
        <v>7300</v>
      </c>
      <c r="AF1128" s="331">
        <v>7820</v>
      </c>
      <c r="AG1128" s="331">
        <v>8170</v>
      </c>
      <c r="AH1128" s="288">
        <v>6370</v>
      </c>
      <c r="AI1128" s="288">
        <f t="shared" si="160"/>
        <v>0</v>
      </c>
      <c r="AJ1128" s="288">
        <v>7080</v>
      </c>
      <c r="AK1128" s="288">
        <f t="shared" si="161"/>
        <v>0</v>
      </c>
      <c r="AL1128" s="288">
        <v>7300</v>
      </c>
      <c r="AM1128" s="288">
        <f t="shared" si="162"/>
        <v>0</v>
      </c>
      <c r="AN1128" s="288">
        <v>7820</v>
      </c>
      <c r="AO1128" s="288">
        <f t="shared" si="163"/>
        <v>0</v>
      </c>
      <c r="AP1128" s="288">
        <v>8170</v>
      </c>
      <c r="AQ1128" s="288">
        <f t="shared" si="164"/>
        <v>0</v>
      </c>
    </row>
    <row r="1129" spans="1:46" ht="35.1" customHeight="1">
      <c r="A1129" s="8"/>
      <c r="B1129" s="16" t="s">
        <v>9</v>
      </c>
      <c r="C1129" s="17"/>
      <c r="D1129" s="18">
        <f t="shared" si="150"/>
        <v>5050</v>
      </c>
      <c r="E1129" s="66">
        <f t="shared" si="151"/>
        <v>6060</v>
      </c>
      <c r="F1129" s="18">
        <f t="shared" si="152"/>
        <v>5600</v>
      </c>
      <c r="G1129" s="66">
        <f t="shared" si="153"/>
        <v>6720</v>
      </c>
      <c r="H1129" s="18">
        <f t="shared" si="154"/>
        <v>5775</v>
      </c>
      <c r="I1129" s="66">
        <f t="shared" si="155"/>
        <v>6930</v>
      </c>
      <c r="J1129" s="18">
        <f t="shared" si="156"/>
        <v>6233.3333333333339</v>
      </c>
      <c r="K1129" s="66">
        <f t="shared" si="157"/>
        <v>7480</v>
      </c>
      <c r="L1129" s="18">
        <f t="shared" si="158"/>
        <v>6525</v>
      </c>
      <c r="M1129" s="66">
        <f t="shared" si="159"/>
        <v>7830</v>
      </c>
      <c r="N1129" s="289"/>
      <c r="O1129" s="8"/>
      <c r="P1129" s="83"/>
      <c r="Q1129" s="83"/>
      <c r="R1129" s="289"/>
      <c r="S1129" s="8"/>
      <c r="T1129" s="289"/>
      <c r="U1129" s="83"/>
      <c r="V1129" s="289"/>
      <c r="W1129" s="83"/>
      <c r="X1129" s="22"/>
      <c r="Y1129" s="22"/>
      <c r="Z1129" s="22"/>
      <c r="AA1129" s="22"/>
      <c r="AB1129" s="22"/>
      <c r="AC1129" s="331">
        <v>6060</v>
      </c>
      <c r="AD1129" s="389">
        <v>6720</v>
      </c>
      <c r="AE1129" s="331">
        <v>6930</v>
      </c>
      <c r="AF1129" s="331">
        <v>7480</v>
      </c>
      <c r="AG1129" s="331">
        <v>7830</v>
      </c>
      <c r="AH1129" s="288">
        <v>6060</v>
      </c>
      <c r="AI1129" s="288">
        <f t="shared" si="160"/>
        <v>0</v>
      </c>
      <c r="AJ1129" s="288">
        <v>6720</v>
      </c>
      <c r="AK1129" s="288">
        <f t="shared" si="161"/>
        <v>0</v>
      </c>
      <c r="AL1129" s="288">
        <v>6930</v>
      </c>
      <c r="AM1129" s="288">
        <f t="shared" si="162"/>
        <v>0</v>
      </c>
      <c r="AN1129" s="288">
        <v>7480</v>
      </c>
      <c r="AO1129" s="288">
        <f t="shared" si="163"/>
        <v>0</v>
      </c>
      <c r="AP1129" s="288">
        <v>7830</v>
      </c>
      <c r="AQ1129" s="288">
        <f t="shared" si="164"/>
        <v>0</v>
      </c>
    </row>
    <row r="1130" spans="1:46" ht="35.1" customHeight="1">
      <c r="A1130" s="8"/>
      <c r="B1130" s="23" t="s">
        <v>10</v>
      </c>
      <c r="C1130" s="24"/>
      <c r="D1130" s="25">
        <f t="shared" si="150"/>
        <v>4783.3333333333339</v>
      </c>
      <c r="E1130" s="69">
        <f t="shared" si="151"/>
        <v>5740.0000000000009</v>
      </c>
      <c r="F1130" s="25">
        <f t="shared" si="152"/>
        <v>5300</v>
      </c>
      <c r="G1130" s="69">
        <f t="shared" si="153"/>
        <v>6360</v>
      </c>
      <c r="H1130" s="25">
        <f t="shared" si="154"/>
        <v>5483.3333333333339</v>
      </c>
      <c r="I1130" s="69">
        <f t="shared" si="155"/>
        <v>6580.0000000000009</v>
      </c>
      <c r="J1130" s="25">
        <f t="shared" si="156"/>
        <v>5858.3333333333339</v>
      </c>
      <c r="K1130" s="69">
        <f t="shared" si="157"/>
        <v>7030.0000000000009</v>
      </c>
      <c r="L1130" s="25">
        <f t="shared" si="158"/>
        <v>6100</v>
      </c>
      <c r="M1130" s="69">
        <f t="shared" si="159"/>
        <v>7320</v>
      </c>
      <c r="N1130" s="289"/>
      <c r="O1130" s="8"/>
      <c r="P1130" s="83"/>
      <c r="Q1130" s="83"/>
      <c r="R1130" s="289"/>
      <c r="S1130" s="8"/>
      <c r="T1130" s="289"/>
      <c r="U1130" s="83"/>
      <c r="V1130" s="289"/>
      <c r="W1130" s="83"/>
      <c r="X1130" s="22"/>
      <c r="Y1130" s="22"/>
      <c r="Z1130" s="22"/>
      <c r="AA1130" s="22"/>
      <c r="AB1130" s="22"/>
      <c r="AC1130" s="331">
        <v>5740</v>
      </c>
      <c r="AD1130" s="389">
        <v>6360</v>
      </c>
      <c r="AE1130" s="331">
        <v>6580</v>
      </c>
      <c r="AF1130" s="331">
        <v>7030</v>
      </c>
      <c r="AG1130" s="331">
        <v>7320</v>
      </c>
      <c r="AH1130" s="288">
        <v>5740</v>
      </c>
      <c r="AI1130" s="288">
        <f t="shared" si="160"/>
        <v>0</v>
      </c>
      <c r="AJ1130" s="288">
        <v>6360</v>
      </c>
      <c r="AK1130" s="288">
        <f t="shared" si="161"/>
        <v>0</v>
      </c>
      <c r="AL1130" s="288">
        <v>6580</v>
      </c>
      <c r="AM1130" s="288">
        <f t="shared" si="162"/>
        <v>0</v>
      </c>
      <c r="AN1130" s="288">
        <v>7030</v>
      </c>
      <c r="AO1130" s="288">
        <f t="shared" si="163"/>
        <v>0</v>
      </c>
      <c r="AP1130" s="288">
        <v>7320</v>
      </c>
      <c r="AQ1130" s="288">
        <f t="shared" si="164"/>
        <v>0</v>
      </c>
    </row>
    <row r="1131" spans="1:46">
      <c r="C1131" s="244"/>
      <c r="D1131" s="26"/>
      <c r="E1131" s="57"/>
      <c r="F1131" s="26"/>
      <c r="G1131" s="57"/>
      <c r="H1131" s="10"/>
      <c r="I1131" s="8"/>
      <c r="J1131" s="8"/>
      <c r="K1131" s="8"/>
      <c r="L1131" s="8"/>
      <c r="P1131" s="83"/>
      <c r="Q1131" s="83"/>
      <c r="W1131" s="20"/>
      <c r="X1131" s="22"/>
      <c r="Y1131" s="22"/>
      <c r="Z1131" s="22"/>
      <c r="AA1131" s="22"/>
      <c r="AB1131" s="22"/>
    </row>
    <row r="1132" spans="1:46">
      <c r="B1132" s="211" t="str">
        <f>IF($C$1="ENG","For additonal charge:","Послуги за додаткову плату:")</f>
        <v>Послуги за додаткову плату:</v>
      </c>
      <c r="C1132" s="419"/>
      <c r="D1132" s="212"/>
      <c r="E1132" s="213"/>
      <c r="F1132" s="26"/>
      <c r="G1132" s="57"/>
      <c r="H1132" s="10"/>
      <c r="I1132" s="8"/>
      <c r="J1132" s="8"/>
      <c r="K1132" s="8"/>
    </row>
    <row r="1133" spans="1:46" ht="5.0999999999999996" customHeight="1">
      <c r="B1133" s="27"/>
      <c r="C1133" s="244"/>
      <c r="D1133" s="26"/>
      <c r="E1133" s="57"/>
      <c r="F1133" s="26"/>
      <c r="G1133" s="26"/>
      <c r="H1133" s="10"/>
      <c r="I1133" s="8"/>
      <c r="J1133" s="8"/>
      <c r="K1133" s="8"/>
    </row>
    <row r="1134" spans="1:46">
      <c r="B1134" s="561" t="str">
        <f>IF($C$1="ENG","door leaf with width 100","полотно розміром 100")</f>
        <v>полотно розміром 100</v>
      </c>
      <c r="C1134" s="562"/>
      <c r="D1134" s="408">
        <f t="shared" ref="D1134:D1147" si="165">IF(AC1134="","",(1-$W$2)*(AC1134/1.2))</f>
        <v>600</v>
      </c>
      <c r="E1134" s="91">
        <f t="shared" ref="E1134:E1146" si="166">IF($W$5=0.2,D1134*1.2,D1134)/$W$4</f>
        <v>720</v>
      </c>
      <c r="F1134" s="26"/>
      <c r="G1134" s="26"/>
      <c r="H1134" s="10"/>
      <c r="I1134" s="8"/>
      <c r="J1134" s="8"/>
      <c r="K1134" s="8"/>
      <c r="AC1134" s="297">
        <v>720</v>
      </c>
      <c r="AD1134" s="288">
        <v>720</v>
      </c>
      <c r="AE1134" s="288">
        <f>AD1134/AC1134-1</f>
        <v>0</v>
      </c>
      <c r="AF1134" s="288"/>
      <c r="AG1134" s="288"/>
      <c r="AH1134" s="288"/>
      <c r="AI1134" s="288"/>
      <c r="AJ1134" s="288"/>
      <c r="AK1134" s="288"/>
      <c r="AL1134" s="288"/>
    </row>
    <row r="1135" spans="1:46">
      <c r="B1135" s="554" t="str">
        <f>IF($C$1="ENG","Ventilation sleeves (1 row)","вентиляційні віддушини (1ряд)")</f>
        <v>вентиляційні віддушини (1ряд)</v>
      </c>
      <c r="C1135" s="555"/>
      <c r="D1135" s="403">
        <f t="shared" si="165"/>
        <v>208.33333333333334</v>
      </c>
      <c r="E1135" s="92">
        <f t="shared" si="166"/>
        <v>250</v>
      </c>
      <c r="F1135" s="26"/>
      <c r="G1135" s="26"/>
      <c r="I1135" s="11"/>
      <c r="J1135" s="11"/>
      <c r="K1135" s="11"/>
      <c r="AC1135" s="297">
        <v>250</v>
      </c>
      <c r="AD1135" s="288">
        <v>250</v>
      </c>
      <c r="AE1135" s="288">
        <f t="shared" ref="AE1135:AE1146" si="167">AD1135/AC1135-1</f>
        <v>0</v>
      </c>
      <c r="AF1135" s="288"/>
      <c r="AG1135" s="288"/>
      <c r="AH1135" s="288"/>
      <c r="AI1135" s="288"/>
      <c r="AJ1135" s="288"/>
      <c r="AK1135" s="288"/>
      <c r="AL1135" s="288"/>
    </row>
    <row r="1136" spans="1:46">
      <c r="B1136" s="561" t="str">
        <f>IF($C$1="ENG","Ventilation cut","вентиляційний підріз")</f>
        <v>вентиляційний підріз</v>
      </c>
      <c r="C1136" s="562"/>
      <c r="D1136" s="403">
        <f t="shared" si="165"/>
        <v>141.66666666666669</v>
      </c>
      <c r="E1136" s="66">
        <f t="shared" si="166"/>
        <v>170.00000000000003</v>
      </c>
      <c r="F1136" s="26"/>
      <c r="G1136" s="26"/>
      <c r="I1136" s="59"/>
      <c r="J1136" s="28"/>
      <c r="AC1136" s="297">
        <v>170</v>
      </c>
      <c r="AD1136" s="288">
        <v>170</v>
      </c>
      <c r="AE1136" s="288">
        <f t="shared" si="167"/>
        <v>0</v>
      </c>
      <c r="AF1136" s="288"/>
      <c r="AG1136" s="288"/>
      <c r="AH1136" s="288"/>
      <c r="AI1136" s="288"/>
      <c r="AJ1136" s="288"/>
      <c r="AK1136" s="288"/>
      <c r="AL1136" s="288"/>
    </row>
    <row r="1137" spans="2:38">
      <c r="B1137" s="554" t="str">
        <f>IF($C$1="ENG","glazing Graphite / Bronze","скло Графіт / Бронза")</f>
        <v>скло Графіт / Бронза</v>
      </c>
      <c r="C1137" s="555"/>
      <c r="D1137" s="405">
        <f t="shared" si="165"/>
        <v>458.33333333333337</v>
      </c>
      <c r="E1137" s="92">
        <f t="shared" si="166"/>
        <v>550</v>
      </c>
      <c r="F1137" s="26"/>
      <c r="G1137" s="26"/>
      <c r="H1137" s="5"/>
      <c r="AC1137" s="297">
        <v>550</v>
      </c>
      <c r="AD1137" s="288">
        <v>550</v>
      </c>
      <c r="AE1137" s="288">
        <f t="shared" si="167"/>
        <v>0</v>
      </c>
      <c r="AF1137" s="288"/>
      <c r="AG1137" s="288"/>
      <c r="AH1137" s="288"/>
      <c r="AI1137" s="288"/>
      <c r="AJ1137" s="288"/>
      <c r="AK1137" s="288"/>
      <c r="AL1137" s="288"/>
    </row>
    <row r="1138" spans="2:38">
      <c r="B1138" s="554" t="str">
        <f>IF($C$1="ENG","glazing Lacobel black ","скло Lacobel чорне")</f>
        <v>скло Lacobel чорне</v>
      </c>
      <c r="C1138" s="555"/>
      <c r="D1138" s="405">
        <f t="shared" si="165"/>
        <v>458.33333333333337</v>
      </c>
      <c r="E1138" s="92">
        <f>IF($W$5=0.2,D1138*1.2,D1138)/$W$4</f>
        <v>550</v>
      </c>
      <c r="F1138" s="26"/>
      <c r="G1138" s="26"/>
      <c r="H1138" s="5"/>
      <c r="AC1138" s="297">
        <v>550</v>
      </c>
      <c r="AD1138" s="297">
        <v>550</v>
      </c>
      <c r="AE1138" s="288"/>
      <c r="AF1138" s="288"/>
      <c r="AG1138" s="288"/>
      <c r="AH1138" s="288"/>
      <c r="AI1138" s="288"/>
      <c r="AJ1138" s="288"/>
      <c r="AK1138" s="288"/>
      <c r="AL1138" s="288"/>
    </row>
    <row r="1139" spans="2:38">
      <c r="B1139" s="554" t="str">
        <f>IF($C$1="ENG","door lock Soft","замок Soft")</f>
        <v>замок Soft</v>
      </c>
      <c r="C1139" s="555"/>
      <c r="D1139" s="405">
        <f t="shared" si="165"/>
        <v>458.33333333333337</v>
      </c>
      <c r="E1139" s="92">
        <f t="shared" si="166"/>
        <v>550</v>
      </c>
      <c r="F1139" s="26"/>
      <c r="G1139" s="26"/>
      <c r="H1139" s="5"/>
      <c r="AC1139" s="297">
        <v>550</v>
      </c>
      <c r="AD1139" s="288">
        <v>550</v>
      </c>
      <c r="AE1139" s="288">
        <f t="shared" si="167"/>
        <v>0</v>
      </c>
      <c r="AF1139" s="288"/>
      <c r="AG1139" s="288"/>
      <c r="AH1139" s="288"/>
      <c r="AI1139" s="288"/>
      <c r="AJ1139" s="288"/>
      <c r="AK1139" s="288"/>
      <c r="AL1139" s="288"/>
    </row>
    <row r="1140" spans="2:38">
      <c r="B1140" s="554" t="str">
        <f>IF($C$1="ENG","door lock Soft black","замок Soft чорн.")</f>
        <v>замок Soft чорн.</v>
      </c>
      <c r="C1140" s="555"/>
      <c r="D1140" s="405">
        <f t="shared" ref="D1140" si="168">IF(AC1140="","",(1-$W$2)*(AC1140/1.2))</f>
        <v>566.66666666666674</v>
      </c>
      <c r="E1140" s="92">
        <f t="shared" ref="E1140" si="169">IF($W$5=0.2,D1140*1.2,D1140)/$W$4</f>
        <v>680.00000000000011</v>
      </c>
      <c r="F1140" s="26"/>
      <c r="G1140" s="26"/>
      <c r="H1140" s="5"/>
      <c r="AC1140" s="297">
        <v>680</v>
      </c>
      <c r="AD1140" s="288"/>
      <c r="AE1140" s="288"/>
      <c r="AF1140" s="288"/>
      <c r="AG1140" s="288"/>
      <c r="AH1140" s="288"/>
      <c r="AI1140" s="288"/>
      <c r="AJ1140" s="288"/>
      <c r="AK1140" s="288"/>
      <c r="AL1140" s="288"/>
    </row>
    <row r="1141" spans="2:38">
      <c r="B1141" s="554" t="str">
        <f>IF($C$1="ENG","door lock Magnet","замок Magnet")</f>
        <v>замок Magnet</v>
      </c>
      <c r="C1141" s="555"/>
      <c r="D1141" s="405">
        <f t="shared" si="165"/>
        <v>666.66666666666674</v>
      </c>
      <c r="E1141" s="92">
        <f t="shared" si="166"/>
        <v>800.00000000000011</v>
      </c>
      <c r="F1141" s="26"/>
      <c r="G1141" s="26"/>
      <c r="H1141" s="5"/>
      <c r="AC1141" s="297">
        <v>800</v>
      </c>
      <c r="AD1141" s="288">
        <v>800</v>
      </c>
      <c r="AE1141" s="288">
        <f t="shared" si="167"/>
        <v>0</v>
      </c>
      <c r="AF1141" s="288"/>
      <c r="AG1141" s="288"/>
      <c r="AH1141" s="288"/>
      <c r="AI1141" s="288"/>
      <c r="AJ1141" s="288"/>
      <c r="AK1141" s="288"/>
      <c r="AL1141" s="288"/>
    </row>
    <row r="1142" spans="2:38">
      <c r="B1142" s="554" t="s">
        <v>66</v>
      </c>
      <c r="C1142" s="555"/>
      <c r="D1142" s="405">
        <f t="shared" ref="D1142" si="170">IF(AC1142="","",(1-$W$2)*(AC1142/1.2))</f>
        <v>833.33333333333337</v>
      </c>
      <c r="E1142" s="92">
        <f t="shared" ref="E1142" si="171">IF($W$5=0.2,D1142*1.2,D1142)/$W$4</f>
        <v>1000</v>
      </c>
      <c r="F1142" s="26"/>
      <c r="G1142" s="26"/>
      <c r="H1142" s="5"/>
      <c r="AC1142" s="297">
        <v>1000</v>
      </c>
      <c r="AD1142" s="288"/>
      <c r="AE1142" s="288"/>
      <c r="AF1142" s="288"/>
      <c r="AG1142" s="288"/>
      <c r="AH1142" s="288"/>
      <c r="AI1142" s="288"/>
      <c r="AJ1142" s="288"/>
      <c r="AK1142" s="288"/>
      <c r="AL1142" s="288"/>
    </row>
    <row r="1143" spans="2:38">
      <c r="B1143" s="554" t="str">
        <f>IF($C$1="ENG","door handle-lock (for sliding doors)","ручка-замок (для дверей купе)")</f>
        <v>ручка-замок (для дверей купе)</v>
      </c>
      <c r="C1143" s="555"/>
      <c r="D1143" s="403">
        <f t="shared" si="165"/>
        <v>466.66666666666669</v>
      </c>
      <c r="E1143" s="92">
        <f t="shared" si="166"/>
        <v>560</v>
      </c>
      <c r="F1143" s="26"/>
      <c r="G1143" s="26"/>
      <c r="I1143" s="11"/>
      <c r="J1143" s="11"/>
      <c r="K1143" s="19"/>
      <c r="AC1143" s="297">
        <v>560</v>
      </c>
      <c r="AD1143" s="288">
        <v>560</v>
      </c>
      <c r="AE1143" s="288">
        <f t="shared" si="167"/>
        <v>0</v>
      </c>
      <c r="AF1143" s="288"/>
      <c r="AG1143" s="288"/>
      <c r="AH1143" s="288"/>
      <c r="AI1143" s="288"/>
      <c r="AJ1143" s="288"/>
      <c r="AK1143" s="288"/>
      <c r="AL1143" s="288"/>
    </row>
    <row r="1144" spans="2:38">
      <c r="B1144" s="554" t="str">
        <f>IF($C$1="ENG","cylinder incert","циліндр несиметричний")</f>
        <v>циліндр несиметричний</v>
      </c>
      <c r="C1144" s="555"/>
      <c r="D1144" s="403">
        <f t="shared" si="165"/>
        <v>316.66666666666669</v>
      </c>
      <c r="E1144" s="92">
        <f t="shared" si="166"/>
        <v>380</v>
      </c>
      <c r="F1144" s="26"/>
      <c r="G1144" s="26"/>
      <c r="AC1144" s="297">
        <v>380</v>
      </c>
      <c r="AD1144" s="288">
        <v>380</v>
      </c>
      <c r="AE1144" s="288">
        <f t="shared" si="167"/>
        <v>0</v>
      </c>
      <c r="AF1144" s="288"/>
      <c r="AG1144" s="288"/>
      <c r="AH1144" s="288"/>
      <c r="AI1144" s="288"/>
      <c r="AJ1144" s="288"/>
      <c r="AK1144" s="288"/>
      <c r="AL1144" s="288"/>
    </row>
    <row r="1145" spans="2:38">
      <c r="B1145" s="554" t="str">
        <f>IF($C$1="ENG","door hindge Prestige (1 unit)","завіса Prestige (1 шт)")</f>
        <v>завіса Prestige (1 шт)</v>
      </c>
      <c r="C1145" s="555"/>
      <c r="D1145" s="406">
        <f t="shared" si="165"/>
        <v>216.66666666666669</v>
      </c>
      <c r="E1145" s="92">
        <f t="shared" si="166"/>
        <v>260</v>
      </c>
      <c r="F1145" s="26"/>
      <c r="G1145" s="26"/>
      <c r="AC1145" s="297">
        <v>260</v>
      </c>
      <c r="AD1145" s="288">
        <v>260</v>
      </c>
      <c r="AE1145" s="288">
        <f t="shared" si="167"/>
        <v>0</v>
      </c>
      <c r="AF1145" s="288"/>
      <c r="AG1145" s="288"/>
      <c r="AH1145" s="288"/>
      <c r="AI1145" s="288"/>
      <c r="AJ1145" s="288"/>
      <c r="AK1145" s="288"/>
      <c r="AL1145" s="288"/>
    </row>
    <row r="1146" spans="2:38">
      <c r="B1146" s="554" t="str">
        <f>IF($C$1="ENG","door hinge caps (1 set)","накладка на завіси (1 к-т)")</f>
        <v>накладка на завіси (1 к-т)</v>
      </c>
      <c r="C1146" s="555"/>
      <c r="D1146" s="406">
        <f t="shared" si="165"/>
        <v>66.666666666666671</v>
      </c>
      <c r="E1146" s="92">
        <f t="shared" si="166"/>
        <v>80</v>
      </c>
      <c r="F1146" s="26"/>
      <c r="G1146" s="26"/>
      <c r="AC1146" s="297">
        <v>80</v>
      </c>
      <c r="AD1146" s="288">
        <v>80</v>
      </c>
      <c r="AE1146" s="288">
        <f t="shared" si="167"/>
        <v>0</v>
      </c>
      <c r="AF1146" s="288"/>
      <c r="AG1146" s="288"/>
      <c r="AH1146" s="288"/>
      <c r="AI1146" s="288"/>
      <c r="AJ1146" s="288"/>
      <c r="AK1146" s="288"/>
      <c r="AL1146" s="288"/>
    </row>
    <row r="1147" spans="2:38">
      <c r="B1147" s="554" t="str">
        <f>IF($C$1="ENG","door handle","дверна ручка")</f>
        <v>дверна ручка</v>
      </c>
      <c r="C1147" s="555"/>
      <c r="D1147" s="407" t="str">
        <f t="shared" si="165"/>
        <v/>
      </c>
      <c r="E1147" s="246" t="str">
        <f>IF($C$1="ENG","see Handles Price","див. Таблицю Ручки")</f>
        <v>див. Таблицю Ручки</v>
      </c>
      <c r="F1147" s="26"/>
      <c r="G1147" s="26"/>
      <c r="AC1147" s="288"/>
      <c r="AD1147" s="288"/>
      <c r="AE1147" s="288"/>
      <c r="AF1147" s="288"/>
      <c r="AG1147" s="288"/>
      <c r="AH1147" s="288"/>
      <c r="AI1147" s="288"/>
      <c r="AJ1147" s="288"/>
      <c r="AK1147" s="288"/>
      <c r="AL1147" s="288"/>
    </row>
    <row r="1148" spans="2:38" ht="14.25" customHeight="1">
      <c r="C1148" s="244"/>
      <c r="D1148" s="26"/>
      <c r="E1148" s="26"/>
      <c r="F1148" s="26"/>
      <c r="G1148" s="26"/>
      <c r="H1148" s="5"/>
      <c r="T1148" s="536" t="str">
        <f>IF($C$1="ENG",CONCATENATE("down to: ",B1198),CONCATENATE("вниз до: ",B1198))</f>
        <v>вниз до: Полотна збірні: ЛАДА-НОВА</v>
      </c>
      <c r="U1148" s="536"/>
      <c r="V1148" s="536"/>
      <c r="W1148" s="536"/>
    </row>
    <row r="1149" spans="2:38" ht="14.25" customHeight="1">
      <c r="C1149" s="244"/>
      <c r="D1149" s="26"/>
      <c r="E1149" s="26"/>
      <c r="F1149" s="26"/>
      <c r="G1149" s="26"/>
      <c r="H1149" s="5"/>
    </row>
    <row r="1150" spans="2:38" ht="14.25" customHeight="1">
      <c r="C1150" s="244"/>
      <c r="D1150" s="26"/>
      <c r="E1150" s="26"/>
      <c r="F1150" s="26"/>
      <c r="G1150" s="26"/>
      <c r="H1150" s="5"/>
    </row>
    <row r="1151" spans="2:38" ht="14.25" customHeight="1">
      <c r="C1151" s="244"/>
      <c r="D1151" s="26"/>
      <c r="E1151" s="26"/>
      <c r="F1151" s="26"/>
      <c r="G1151" s="26"/>
      <c r="H1151" s="5"/>
    </row>
    <row r="1152" spans="2:38" ht="14.25" customHeight="1">
      <c r="C1152" s="244"/>
      <c r="D1152" s="26"/>
      <c r="E1152" s="26"/>
      <c r="F1152" s="26"/>
      <c r="G1152" s="26"/>
      <c r="H1152" s="5"/>
    </row>
    <row r="1153" spans="3:8" ht="14.25" customHeight="1">
      <c r="C1153" s="244"/>
      <c r="D1153" s="26"/>
      <c r="E1153" s="26"/>
      <c r="F1153" s="26"/>
      <c r="G1153" s="26"/>
      <c r="H1153" s="5"/>
    </row>
    <row r="1154" spans="3:8" ht="14.25" customHeight="1">
      <c r="C1154" s="244"/>
      <c r="D1154" s="26"/>
      <c r="E1154" s="26"/>
      <c r="F1154" s="26"/>
      <c r="G1154" s="26"/>
      <c r="H1154" s="5"/>
    </row>
    <row r="1155" spans="3:8" ht="14.25" customHeight="1">
      <c r="C1155" s="244"/>
      <c r="D1155" s="26"/>
      <c r="E1155" s="26"/>
      <c r="F1155" s="26"/>
      <c r="G1155" s="26"/>
      <c r="H1155" s="5"/>
    </row>
    <row r="1156" spans="3:8" ht="14.25" customHeight="1">
      <c r="C1156" s="244"/>
      <c r="D1156" s="26"/>
      <c r="E1156" s="26"/>
      <c r="F1156" s="26"/>
      <c r="G1156" s="26"/>
      <c r="H1156" s="5"/>
    </row>
    <row r="1157" spans="3:8" ht="14.25" customHeight="1">
      <c r="C1157" s="244"/>
      <c r="D1157" s="26"/>
      <c r="E1157" s="26"/>
      <c r="F1157" s="26"/>
      <c r="G1157" s="26"/>
      <c r="H1157" s="5"/>
    </row>
    <row r="1158" spans="3:8" ht="14.25" customHeight="1">
      <c r="C1158" s="244"/>
      <c r="D1158" s="26"/>
      <c r="E1158" s="26"/>
      <c r="F1158" s="26"/>
      <c r="G1158" s="26"/>
      <c r="H1158" s="5"/>
    </row>
    <row r="1159" spans="3:8" ht="14.25" customHeight="1">
      <c r="C1159" s="244"/>
      <c r="D1159" s="26"/>
      <c r="E1159" s="26"/>
      <c r="F1159" s="26"/>
      <c r="G1159" s="26"/>
      <c r="H1159" s="5"/>
    </row>
    <row r="1160" spans="3:8" ht="14.25" customHeight="1">
      <c r="C1160" s="244"/>
      <c r="D1160" s="26"/>
      <c r="E1160" s="26"/>
      <c r="F1160" s="26"/>
      <c r="G1160" s="26"/>
      <c r="H1160" s="5"/>
    </row>
    <row r="1161" spans="3:8" ht="14.25" customHeight="1">
      <c r="C1161" s="244"/>
      <c r="D1161" s="26"/>
      <c r="E1161" s="26"/>
      <c r="F1161" s="26"/>
      <c r="G1161" s="26"/>
      <c r="H1161" s="5"/>
    </row>
    <row r="1162" spans="3:8" ht="14.25" customHeight="1">
      <c r="C1162" s="244"/>
      <c r="D1162" s="26"/>
      <c r="E1162" s="26"/>
      <c r="F1162" s="26"/>
      <c r="G1162" s="26"/>
      <c r="H1162" s="5"/>
    </row>
    <row r="1163" spans="3:8" ht="14.25" customHeight="1">
      <c r="C1163" s="244"/>
      <c r="D1163" s="26"/>
      <c r="E1163" s="26"/>
      <c r="F1163" s="26"/>
      <c r="G1163" s="26"/>
      <c r="H1163" s="5"/>
    </row>
    <row r="1164" spans="3:8" ht="14.25" customHeight="1">
      <c r="C1164" s="244"/>
      <c r="D1164" s="26"/>
      <c r="E1164" s="26"/>
      <c r="F1164" s="26"/>
      <c r="G1164" s="26"/>
      <c r="H1164" s="5"/>
    </row>
    <row r="1165" spans="3:8" ht="14.25" customHeight="1">
      <c r="C1165" s="244"/>
      <c r="D1165" s="26"/>
      <c r="E1165" s="26"/>
      <c r="F1165" s="26"/>
      <c r="G1165" s="26"/>
      <c r="H1165" s="5"/>
    </row>
    <row r="1166" spans="3:8" ht="14.25" customHeight="1">
      <c r="C1166" s="244"/>
      <c r="D1166" s="26"/>
      <c r="E1166" s="26"/>
      <c r="F1166" s="26"/>
      <c r="G1166" s="26"/>
      <c r="H1166" s="5"/>
    </row>
    <row r="1167" spans="3:8" ht="14.25" customHeight="1">
      <c r="C1167" s="244"/>
      <c r="D1167" s="26"/>
      <c r="E1167" s="26"/>
      <c r="F1167" s="26"/>
      <c r="G1167" s="26"/>
      <c r="H1167" s="5"/>
    </row>
    <row r="1168" spans="3:8" ht="14.25" customHeight="1">
      <c r="C1168" s="244"/>
      <c r="D1168" s="26"/>
      <c r="E1168" s="26"/>
      <c r="F1168" s="26"/>
      <c r="G1168" s="26"/>
      <c r="H1168" s="5"/>
    </row>
    <row r="1169" spans="3:8" ht="14.25" customHeight="1">
      <c r="C1169" s="244"/>
      <c r="D1169" s="26"/>
      <c r="E1169" s="26"/>
      <c r="F1169" s="26"/>
      <c r="G1169" s="26"/>
      <c r="H1169" s="5"/>
    </row>
    <row r="1170" spans="3:8" ht="14.25" customHeight="1">
      <c r="C1170" s="244"/>
      <c r="D1170" s="26"/>
      <c r="E1170" s="26"/>
      <c r="F1170" s="26"/>
      <c r="G1170" s="26"/>
      <c r="H1170" s="5"/>
    </row>
    <row r="1171" spans="3:8" ht="14.25" customHeight="1">
      <c r="C1171" s="244"/>
      <c r="D1171" s="26"/>
      <c r="E1171" s="26"/>
      <c r="F1171" s="26"/>
      <c r="G1171" s="26"/>
      <c r="H1171" s="5"/>
    </row>
    <row r="1172" spans="3:8" ht="14.25" customHeight="1">
      <c r="C1172" s="244"/>
      <c r="D1172" s="26"/>
      <c r="E1172" s="26"/>
      <c r="F1172" s="26"/>
      <c r="G1172" s="26"/>
      <c r="H1172" s="5"/>
    </row>
    <row r="1173" spans="3:8" ht="14.25" customHeight="1">
      <c r="C1173" s="244"/>
      <c r="D1173" s="26"/>
      <c r="E1173" s="26"/>
      <c r="F1173" s="26"/>
      <c r="G1173" s="26"/>
      <c r="H1173" s="5"/>
    </row>
    <row r="1174" spans="3:8" ht="14.25" customHeight="1">
      <c r="C1174" s="244"/>
      <c r="D1174" s="26"/>
      <c r="E1174" s="26"/>
      <c r="F1174" s="26"/>
      <c r="G1174" s="26"/>
      <c r="H1174" s="5"/>
    </row>
    <row r="1175" spans="3:8" ht="14.25" customHeight="1">
      <c r="C1175" s="244"/>
      <c r="D1175" s="26"/>
      <c r="E1175" s="26"/>
      <c r="F1175" s="26"/>
      <c r="G1175" s="26"/>
      <c r="H1175" s="5"/>
    </row>
    <row r="1176" spans="3:8" ht="14.25" customHeight="1">
      <c r="C1176" s="244"/>
      <c r="D1176" s="26"/>
      <c r="E1176" s="26"/>
      <c r="F1176" s="26"/>
      <c r="G1176" s="26"/>
      <c r="H1176" s="5"/>
    </row>
    <row r="1177" spans="3:8" ht="14.25" customHeight="1">
      <c r="C1177" s="244"/>
      <c r="D1177" s="26"/>
      <c r="E1177" s="26"/>
      <c r="F1177" s="26"/>
      <c r="G1177" s="26"/>
      <c r="H1177" s="5"/>
    </row>
    <row r="1178" spans="3:8" ht="14.25" customHeight="1">
      <c r="C1178" s="244"/>
      <c r="D1178" s="26"/>
      <c r="E1178" s="26"/>
      <c r="F1178" s="26"/>
      <c r="G1178" s="26"/>
      <c r="H1178" s="5"/>
    </row>
    <row r="1179" spans="3:8" ht="14.25" customHeight="1">
      <c r="C1179" s="244"/>
      <c r="D1179" s="26"/>
      <c r="E1179" s="26"/>
      <c r="F1179" s="26"/>
      <c r="G1179" s="26"/>
      <c r="H1179" s="5"/>
    </row>
    <row r="1180" spans="3:8" ht="14.25" customHeight="1">
      <c r="C1180" s="244"/>
      <c r="D1180" s="26"/>
      <c r="E1180" s="26"/>
      <c r="F1180" s="26"/>
      <c r="G1180" s="26"/>
      <c r="H1180" s="5"/>
    </row>
    <row r="1181" spans="3:8" ht="14.25" customHeight="1">
      <c r="C1181" s="244"/>
      <c r="D1181" s="26"/>
      <c r="E1181" s="26"/>
      <c r="F1181" s="26"/>
      <c r="G1181" s="26"/>
      <c r="H1181" s="5"/>
    </row>
    <row r="1182" spans="3:8" ht="14.25" customHeight="1">
      <c r="C1182" s="244"/>
      <c r="D1182" s="26"/>
      <c r="E1182" s="26"/>
      <c r="F1182" s="26"/>
      <c r="G1182" s="26"/>
      <c r="H1182" s="5"/>
    </row>
    <row r="1183" spans="3:8" ht="14.25" customHeight="1">
      <c r="C1183" s="244"/>
      <c r="D1183" s="26"/>
      <c r="E1183" s="26"/>
      <c r="F1183" s="26"/>
      <c r="G1183" s="26"/>
      <c r="H1183" s="5"/>
    </row>
    <row r="1184" spans="3:8" ht="14.25" customHeight="1">
      <c r="C1184" s="244"/>
      <c r="D1184" s="26"/>
      <c r="E1184" s="26"/>
      <c r="F1184" s="26"/>
      <c r="G1184" s="26"/>
      <c r="H1184" s="5"/>
    </row>
    <row r="1185" spans="2:46" ht="14.25" customHeight="1">
      <c r="C1185" s="244"/>
      <c r="D1185" s="26"/>
      <c r="E1185" s="26"/>
      <c r="F1185" s="26"/>
      <c r="G1185" s="26"/>
      <c r="H1185" s="5"/>
    </row>
    <row r="1186" spans="2:46" ht="14.25" customHeight="1">
      <c r="C1186" s="244"/>
      <c r="D1186" s="26"/>
      <c r="E1186" s="26"/>
      <c r="F1186" s="26"/>
      <c r="G1186" s="26"/>
      <c r="H1186" s="5"/>
    </row>
    <row r="1187" spans="2:46" ht="14.25" customHeight="1">
      <c r="C1187" s="244"/>
      <c r="D1187" s="26"/>
      <c r="E1187" s="26"/>
      <c r="F1187" s="26"/>
      <c r="G1187" s="26"/>
      <c r="H1187" s="5"/>
    </row>
    <row r="1188" spans="2:46" ht="14.25" customHeight="1">
      <c r="C1188" s="244"/>
      <c r="D1188" s="26"/>
      <c r="E1188" s="26"/>
      <c r="F1188" s="26"/>
      <c r="G1188" s="26"/>
      <c r="H1188" s="5"/>
    </row>
    <row r="1189" spans="2:46" ht="14.25" customHeight="1">
      <c r="C1189" s="244"/>
      <c r="D1189" s="26"/>
      <c r="E1189" s="26"/>
      <c r="F1189" s="26"/>
      <c r="G1189" s="26"/>
      <c r="H1189" s="5"/>
    </row>
    <row r="1190" spans="2:46" ht="14.25" customHeight="1">
      <c r="C1190" s="244"/>
      <c r="D1190" s="26"/>
      <c r="E1190" s="26"/>
      <c r="F1190" s="26"/>
      <c r="G1190" s="26"/>
      <c r="H1190" s="5"/>
    </row>
    <row r="1191" spans="2:46" ht="14.25" customHeight="1">
      <c r="C1191" s="244"/>
      <c r="D1191" s="26"/>
      <c r="E1191" s="26"/>
      <c r="F1191" s="26"/>
      <c r="G1191" s="26"/>
      <c r="H1191" s="5"/>
    </row>
    <row r="1192" spans="2:46" ht="14.25" customHeight="1">
      <c r="C1192" s="244"/>
      <c r="D1192" s="26"/>
      <c r="E1192" s="26"/>
      <c r="F1192" s="26"/>
      <c r="G1192" s="26"/>
      <c r="H1192" s="5"/>
    </row>
    <row r="1193" spans="2:46" ht="14.25" customHeight="1">
      <c r="C1193" s="244"/>
      <c r="D1193" s="26"/>
      <c r="E1193" s="26"/>
      <c r="F1193" s="26"/>
      <c r="G1193" s="26"/>
      <c r="H1193" s="5"/>
    </row>
    <row r="1194" spans="2:46" ht="14.25" customHeight="1">
      <c r="C1194" s="244"/>
      <c r="D1194" s="26"/>
      <c r="E1194" s="26"/>
      <c r="F1194" s="26"/>
      <c r="G1194" s="26"/>
      <c r="H1194" s="5"/>
    </row>
    <row r="1195" spans="2:46" ht="14.25" customHeight="1">
      <c r="C1195" s="244"/>
      <c r="D1195" s="26"/>
      <c r="E1195" s="26"/>
      <c r="F1195" s="26"/>
      <c r="G1195" s="26"/>
      <c r="H1195" s="5"/>
    </row>
    <row r="1196" spans="2:46" ht="14.25" customHeight="1">
      <c r="C1196" s="244"/>
      <c r="D1196" s="26"/>
      <c r="E1196" s="26"/>
      <c r="F1196" s="26"/>
      <c r="G1196" s="26"/>
      <c r="H1196" s="5"/>
    </row>
    <row r="1197" spans="2:46" ht="14.25" customHeight="1">
      <c r="C1197" s="244"/>
      <c r="D1197" s="26"/>
      <c r="E1197" s="26"/>
      <c r="F1197" s="26"/>
      <c r="G1197" s="26"/>
      <c r="H1197" s="5"/>
    </row>
    <row r="1198" spans="2:46" s="8" customFormat="1">
      <c r="B1198" s="550" t="str">
        <f>TITLE!$C$25</f>
        <v>Полотна збірні: ЛАДА-НОВА</v>
      </c>
      <c r="C1198" s="550"/>
      <c r="D1198" s="117"/>
      <c r="E1198" s="117"/>
      <c r="F1198" s="117"/>
      <c r="G1198" s="117"/>
      <c r="H1198" s="552"/>
      <c r="I1198" s="552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544" t="str">
        <f>IF($C$1="ENG",CONCATENATE("up to: ",B1120),CONCATENATE("вгору до: ",B1120))</f>
        <v>вгору до: Полотна збірні: ЛАДА-КОНЦЕПТ</v>
      </c>
      <c r="U1198" s="544"/>
      <c r="V1198" s="544"/>
      <c r="W1198" s="544"/>
      <c r="AE1198" s="288">
        <f>Z1198/100*12+Z1198</f>
        <v>0</v>
      </c>
      <c r="AF1198" s="288" t="e">
        <f>AE1198/Z1198-1</f>
        <v>#DIV/0!</v>
      </c>
      <c r="AN1198" s="279"/>
      <c r="AO1198" s="279"/>
      <c r="AP1198" s="279"/>
      <c r="AQ1198" s="279"/>
      <c r="AR1198" s="279"/>
      <c r="AS1198" s="279"/>
      <c r="AT1198" s="279"/>
    </row>
    <row r="1199" spans="2:46" s="8" customFormat="1" ht="5.0999999999999996" customHeight="1">
      <c r="B1199" s="116"/>
      <c r="C1199" s="418"/>
      <c r="D1199" s="9"/>
      <c r="E1199" s="9"/>
      <c r="F1199" s="9"/>
      <c r="G1199" s="9"/>
      <c r="H1199" s="119"/>
      <c r="I1199" s="119"/>
      <c r="J1199" s="1"/>
      <c r="K1199" s="1"/>
      <c r="T1199" s="114"/>
      <c r="U1199" s="114"/>
      <c r="V1199" s="114"/>
      <c r="W1199" s="114"/>
      <c r="AN1199" s="279"/>
      <c r="AO1199" s="279"/>
      <c r="AP1199" s="279"/>
      <c r="AQ1199" s="279"/>
      <c r="AR1199" s="279"/>
      <c r="AS1199" s="279"/>
      <c r="AT1199" s="279"/>
    </row>
    <row r="1200" spans="2:46" s="8" customFormat="1" ht="12.75" customHeight="1">
      <c r="B1200" s="556" t="str">
        <f>IF($C$1="ENG","model","модель")</f>
        <v>модель</v>
      </c>
      <c r="C1200" s="121" t="str">
        <f>IF($C$1="ENG","cover:","покриття:")</f>
        <v>покриття:</v>
      </c>
      <c r="D1200" s="538" t="str">
        <f>IF($C$1="ENG","Verto-CELL","Verto-CELL")</f>
        <v>Verto-CELL</v>
      </c>
      <c r="E1200" s="539"/>
      <c r="F1200" s="538" t="str">
        <f>IF($C$1="ENG","UNI-MAT","UNI-MAT")</f>
        <v>UNI-MAT</v>
      </c>
      <c r="G1200" s="539"/>
      <c r="H1200" s="538" t="str">
        <f>IF($C$1="ENG","RESIST","RESIST")</f>
        <v>RESIST</v>
      </c>
      <c r="I1200" s="539"/>
      <c r="J1200" s="538" t="str">
        <f>IF($C$1="ENG","Verto LINE-3D","Verto LINE-3D")</f>
        <v>Verto LINE-3D</v>
      </c>
      <c r="K1200" s="539"/>
      <c r="L1200" s="538" t="str">
        <f>IF($C$1="ENG","ECO Shpon","ЕКО Шпон")</f>
        <v>ЕКО Шпон</v>
      </c>
      <c r="M1200" s="539"/>
      <c r="P1200" s="103"/>
      <c r="Q1200" s="103"/>
      <c r="T1200" s="114"/>
      <c r="U1200" s="114"/>
      <c r="V1200" s="114"/>
      <c r="W1200" s="114"/>
      <c r="AN1200" s="279"/>
      <c r="AO1200" s="279"/>
      <c r="AP1200" s="279"/>
      <c r="AQ1200" s="279"/>
      <c r="AR1200" s="279"/>
      <c r="AS1200" s="279"/>
      <c r="AT1200" s="279"/>
    </row>
    <row r="1201" spans="1:46" s="8" customFormat="1" ht="27.75" customHeight="1">
      <c r="B1201" s="557"/>
      <c r="C1201" s="122" t="str">
        <f>IF($C$1="ENG","filling:","заповнення:")</f>
        <v>заповнення:</v>
      </c>
      <c r="D1201" s="540" t="str">
        <f>IF($C$1="ENG","softwood","клеєний сосновий брус")</f>
        <v>клеєний сосновий брус</v>
      </c>
      <c r="E1201" s="541"/>
      <c r="F1201" s="540" t="str">
        <f>IF($C$1="ENG","softwood","клеєний сосновий брус")</f>
        <v>клеєний сосновий брус</v>
      </c>
      <c r="G1201" s="541"/>
      <c r="H1201" s="540" t="str">
        <f>IF($C$1="ENG","softwood","клеєний сосновий брус")</f>
        <v>клеєний сосновий брус</v>
      </c>
      <c r="I1201" s="541"/>
      <c r="J1201" s="540" t="str">
        <f>IF($C$1="ENG","softwood","клеєний сосновий брус")</f>
        <v>клеєний сосновий брус</v>
      </c>
      <c r="K1201" s="541"/>
      <c r="L1201" s="540" t="str">
        <f>IF($C$1="ENG","softwood","клеєний сосновий брус")</f>
        <v>клеєний сосновий брус</v>
      </c>
      <c r="M1201" s="541"/>
      <c r="N1201" s="11"/>
      <c r="O1201" s="11"/>
      <c r="P1201" s="103"/>
      <c r="Q1201" s="103"/>
      <c r="R1201" s="11"/>
      <c r="S1201" s="11"/>
      <c r="T1201" s="11"/>
      <c r="U1201" s="114"/>
      <c r="V1201" s="114"/>
      <c r="W1201" s="114"/>
      <c r="AD1201" s="381">
        <f>AD1203/AC1203-1</f>
        <v>0.11081441922563418</v>
      </c>
      <c r="AE1201" s="381">
        <f>AE1203/AD1203-1</f>
        <v>3.9663461538461453E-2</v>
      </c>
      <c r="AF1201" s="381">
        <f>AF1203/AE1203-1</f>
        <v>9.0173410404624343E-2</v>
      </c>
      <c r="AG1201" s="381">
        <f>AG1203/AF1203-1</f>
        <v>4.9840933191940717E-2</v>
      </c>
      <c r="AN1201" s="279"/>
      <c r="AO1201" s="279"/>
      <c r="AP1201" s="279"/>
      <c r="AQ1201" s="279"/>
      <c r="AR1201" s="279"/>
      <c r="AS1201" s="279"/>
      <c r="AT1201" s="279"/>
    </row>
    <row r="1202" spans="1:46" ht="12.75" customHeight="1">
      <c r="A1202" s="8"/>
      <c r="B1202" s="558"/>
      <c r="C1202" s="123" t="str">
        <f>IF($C$1="ENG","glazing:","скління:")</f>
        <v>скління:</v>
      </c>
      <c r="D1202" s="542" t="str">
        <f>IF($C$1="ENG","Satin","Сатин")</f>
        <v>Сатин</v>
      </c>
      <c r="E1202" s="543"/>
      <c r="F1202" s="542" t="str">
        <f>IF($C$1="ENG","Satin","Сатин")</f>
        <v>Сатин</v>
      </c>
      <c r="G1202" s="543"/>
      <c r="H1202" s="542" t="str">
        <f>IF($C$1="ENG","Satin","Сатин")</f>
        <v>Сатин</v>
      </c>
      <c r="I1202" s="543"/>
      <c r="J1202" s="542" t="str">
        <f>IF($C$1="ENG","Satin","Сатин")</f>
        <v>Сатин</v>
      </c>
      <c r="K1202" s="543"/>
      <c r="L1202" s="542" t="str">
        <f>IF($C$1="ENG","Satin","Сатин")</f>
        <v>Сатин</v>
      </c>
      <c r="M1202" s="543"/>
      <c r="N1202" s="11"/>
      <c r="O1202" s="11"/>
      <c r="P1202" s="103"/>
      <c r="Q1202" s="103"/>
      <c r="R1202" s="11"/>
      <c r="S1202" s="11"/>
      <c r="T1202" s="11"/>
    </row>
    <row r="1203" spans="1:46" ht="35.1" customHeight="1">
      <c r="A1203" s="8"/>
      <c r="B1203" s="13" t="s">
        <v>13</v>
      </c>
      <c r="C1203" s="14"/>
      <c r="D1203" s="15">
        <f t="shared" ref="D1203:D1208" si="172">IF(AC1203="","",(1-$W$2)*(AC1203/1.2))</f>
        <v>6241.666666666667</v>
      </c>
      <c r="E1203" s="64">
        <f t="shared" ref="E1203:E1208" si="173">IF($W$5=0.2,D1203*1.2,D1203)/$W$4</f>
        <v>7490</v>
      </c>
      <c r="F1203" s="15">
        <f t="shared" ref="F1203:F1208" si="174">IF(AD1203="","",(1-$W$2)*(AD1203/1.2))</f>
        <v>6933.3333333333339</v>
      </c>
      <c r="G1203" s="64">
        <f t="shared" ref="G1203:G1208" si="175">IF($W$5=0.2,F1203*1.2,F1203)/$W$4</f>
        <v>8320</v>
      </c>
      <c r="H1203" s="15">
        <f t="shared" ref="H1203:H1208" si="176">IF(AE1203="","",(1-$W$2)*(AE1203/1.2))</f>
        <v>7208.3333333333339</v>
      </c>
      <c r="I1203" s="64">
        <f t="shared" ref="I1203:I1208" si="177">IF($W$5=0.2,H1203*1.2,H1203)/$W$4</f>
        <v>8650</v>
      </c>
      <c r="J1203" s="15">
        <f t="shared" ref="J1203:J1208" si="178">IF(AF1203="","",(1-$W$2)*(AF1203/1.2))</f>
        <v>7858.3333333333339</v>
      </c>
      <c r="K1203" s="64">
        <f t="shared" ref="K1203:K1208" si="179">IF($W$5=0.2,J1203*1.2,J1203)/$W$4</f>
        <v>9430</v>
      </c>
      <c r="L1203" s="15">
        <f t="shared" ref="L1203:L1208" si="180">IF(AG1203="","",(1-$W$2)*(AG1203/1.2))</f>
        <v>8250</v>
      </c>
      <c r="M1203" s="64">
        <f t="shared" ref="M1203:M1208" si="181">IF($W$5=0.2,L1203*1.2,L1203)/$W$4</f>
        <v>9900</v>
      </c>
      <c r="N1203" s="103"/>
      <c r="O1203" s="20"/>
      <c r="P1203" s="103"/>
      <c r="Q1203" s="103"/>
      <c r="R1203" s="103"/>
      <c r="S1203" s="20"/>
      <c r="T1203" s="103"/>
      <c r="U1203" s="20"/>
      <c r="V1203" s="103"/>
      <c r="W1203" s="20"/>
      <c r="X1203" s="22"/>
      <c r="Y1203" s="22"/>
      <c r="Z1203" s="22"/>
      <c r="AA1203" s="22"/>
      <c r="AB1203" s="22"/>
      <c r="AC1203" s="331">
        <v>7490</v>
      </c>
      <c r="AD1203" s="389">
        <v>8320</v>
      </c>
      <c r="AE1203" s="331">
        <v>8650</v>
      </c>
      <c r="AF1203" s="331">
        <v>9430</v>
      </c>
      <c r="AG1203" s="331">
        <v>9900</v>
      </c>
      <c r="AH1203" s="288">
        <v>7490</v>
      </c>
      <c r="AI1203" s="288">
        <f>AH1203/AC1203-1</f>
        <v>0</v>
      </c>
      <c r="AJ1203" s="288">
        <v>8320</v>
      </c>
      <c r="AK1203" s="288">
        <f>AJ1203/AD1203-1</f>
        <v>0</v>
      </c>
      <c r="AL1203" s="288">
        <v>8650</v>
      </c>
      <c r="AM1203" s="288">
        <f>AL1203/AE1203-1</f>
        <v>0</v>
      </c>
      <c r="AN1203" s="288">
        <v>9430</v>
      </c>
      <c r="AO1203" s="288">
        <f>AN1203/AF1203-1</f>
        <v>0</v>
      </c>
      <c r="AP1203" s="288">
        <v>9900</v>
      </c>
      <c r="AQ1203" s="288">
        <f>AP1203/AG1203-1</f>
        <v>0</v>
      </c>
    </row>
    <row r="1204" spans="1:46" ht="35.1" customHeight="1">
      <c r="A1204" s="8"/>
      <c r="B1204" s="16" t="s">
        <v>69</v>
      </c>
      <c r="C1204" s="17"/>
      <c r="D1204" s="18">
        <f t="shared" si="172"/>
        <v>4775</v>
      </c>
      <c r="E1204" s="66">
        <f t="shared" si="173"/>
        <v>5730</v>
      </c>
      <c r="F1204" s="18">
        <f t="shared" si="174"/>
        <v>5300</v>
      </c>
      <c r="G1204" s="66">
        <f>IF($W$5=0.2,F1204*1.2,F1204)/$W$4</f>
        <v>6360</v>
      </c>
      <c r="H1204" s="18">
        <f t="shared" si="176"/>
        <v>5600</v>
      </c>
      <c r="I1204" s="66">
        <f t="shared" si="177"/>
        <v>6720</v>
      </c>
      <c r="J1204" s="18">
        <f t="shared" si="178"/>
        <v>6008.3333333333339</v>
      </c>
      <c r="K1204" s="66">
        <f t="shared" si="179"/>
        <v>7210.0000000000009</v>
      </c>
      <c r="L1204" s="18">
        <f t="shared" si="180"/>
        <v>6283.3333333333339</v>
      </c>
      <c r="M1204" s="66">
        <f t="shared" si="181"/>
        <v>7540</v>
      </c>
      <c r="N1204" s="103"/>
      <c r="O1204" s="20"/>
      <c r="P1204" s="103"/>
      <c r="Q1204" s="103"/>
      <c r="R1204" s="103"/>
      <c r="S1204" s="20"/>
      <c r="T1204" s="103"/>
      <c r="U1204" s="20"/>
      <c r="V1204" s="103"/>
      <c r="W1204" s="20"/>
      <c r="X1204" s="22"/>
      <c r="Y1204" s="22"/>
      <c r="Z1204" s="22"/>
      <c r="AA1204" s="22"/>
      <c r="AB1204" s="22"/>
      <c r="AC1204" s="331">
        <v>5730</v>
      </c>
      <c r="AD1204" s="389">
        <v>6360</v>
      </c>
      <c r="AE1204" s="331">
        <v>6720</v>
      </c>
      <c r="AF1204" s="331">
        <v>7210</v>
      </c>
      <c r="AG1204" s="331">
        <v>7540</v>
      </c>
      <c r="AH1204" s="288">
        <v>5730</v>
      </c>
      <c r="AI1204" s="288">
        <f t="shared" ref="AI1204:AI1208" si="182">AH1204/AC1204-1</f>
        <v>0</v>
      </c>
      <c r="AJ1204" s="288">
        <v>6360</v>
      </c>
      <c r="AK1204" s="288">
        <f t="shared" ref="AK1204:AK1208" si="183">AJ1204/AD1204-1</f>
        <v>0</v>
      </c>
      <c r="AL1204" s="288">
        <v>6720</v>
      </c>
      <c r="AM1204" s="288">
        <f t="shared" ref="AM1204:AM1208" si="184">AL1204/AE1204-1</f>
        <v>0</v>
      </c>
      <c r="AN1204" s="288">
        <v>7210</v>
      </c>
      <c r="AO1204" s="288">
        <f t="shared" ref="AO1204:AO1208" si="185">AN1204/AF1204-1</f>
        <v>0</v>
      </c>
      <c r="AP1204" s="288">
        <v>7540</v>
      </c>
      <c r="AQ1204" s="288">
        <f t="shared" ref="AQ1204:AQ1208" si="186">AP1204/AG1204-1</f>
        <v>0</v>
      </c>
    </row>
    <row r="1205" spans="1:46" ht="35.1" customHeight="1">
      <c r="A1205" s="8"/>
      <c r="B1205" s="16" t="s">
        <v>30</v>
      </c>
      <c r="C1205" s="17"/>
      <c r="D1205" s="18">
        <f t="shared" si="172"/>
        <v>5541.666666666667</v>
      </c>
      <c r="E1205" s="66">
        <f t="shared" si="173"/>
        <v>6650</v>
      </c>
      <c r="F1205" s="18">
        <f t="shared" si="174"/>
        <v>6150</v>
      </c>
      <c r="G1205" s="66">
        <f t="shared" si="175"/>
        <v>7380</v>
      </c>
      <c r="H1205" s="18">
        <f t="shared" si="176"/>
        <v>6483.3333333333339</v>
      </c>
      <c r="I1205" s="66">
        <f t="shared" si="177"/>
        <v>7780</v>
      </c>
      <c r="J1205" s="18">
        <f t="shared" si="178"/>
        <v>7125</v>
      </c>
      <c r="K1205" s="66">
        <f t="shared" si="179"/>
        <v>8550</v>
      </c>
      <c r="L1205" s="18">
        <f t="shared" si="180"/>
        <v>7466.666666666667</v>
      </c>
      <c r="M1205" s="66">
        <f t="shared" si="181"/>
        <v>8960</v>
      </c>
      <c r="N1205" s="103"/>
      <c r="O1205" s="20"/>
      <c r="P1205" s="103"/>
      <c r="Q1205" s="103"/>
      <c r="R1205" s="103"/>
      <c r="S1205" s="20"/>
      <c r="T1205" s="103"/>
      <c r="U1205" s="20"/>
      <c r="V1205" s="103"/>
      <c r="W1205" s="20"/>
      <c r="X1205" s="22"/>
      <c r="Y1205" s="22"/>
      <c r="Z1205" s="22"/>
      <c r="AA1205" s="22"/>
      <c r="AB1205" s="22"/>
      <c r="AC1205" s="331">
        <v>6650</v>
      </c>
      <c r="AD1205" s="389">
        <v>7380</v>
      </c>
      <c r="AE1205" s="331">
        <v>7780</v>
      </c>
      <c r="AF1205" s="331">
        <v>8550</v>
      </c>
      <c r="AG1205" s="331">
        <v>8960</v>
      </c>
      <c r="AH1205" s="288">
        <v>6650</v>
      </c>
      <c r="AI1205" s="288">
        <f t="shared" si="182"/>
        <v>0</v>
      </c>
      <c r="AJ1205" s="288">
        <v>7380</v>
      </c>
      <c r="AK1205" s="288">
        <f t="shared" si="183"/>
        <v>0</v>
      </c>
      <c r="AL1205" s="288">
        <v>7780</v>
      </c>
      <c r="AM1205" s="288">
        <f t="shared" si="184"/>
        <v>0</v>
      </c>
      <c r="AN1205" s="288">
        <v>8550</v>
      </c>
      <c r="AO1205" s="288">
        <f t="shared" si="185"/>
        <v>0</v>
      </c>
      <c r="AP1205" s="288">
        <v>8960</v>
      </c>
      <c r="AQ1205" s="288">
        <f t="shared" si="186"/>
        <v>0</v>
      </c>
    </row>
    <row r="1206" spans="1:46" ht="35.1" customHeight="1">
      <c r="A1206" s="8"/>
      <c r="B1206" s="16" t="s">
        <v>7</v>
      </c>
      <c r="C1206" s="17"/>
      <c r="D1206" s="18">
        <f t="shared" si="172"/>
        <v>6075</v>
      </c>
      <c r="E1206" s="66">
        <f t="shared" si="173"/>
        <v>7290</v>
      </c>
      <c r="F1206" s="18">
        <f t="shared" si="174"/>
        <v>6750</v>
      </c>
      <c r="G1206" s="66">
        <f t="shared" si="175"/>
        <v>8100</v>
      </c>
      <c r="H1206" s="18">
        <f t="shared" si="176"/>
        <v>7183.3333333333339</v>
      </c>
      <c r="I1206" s="66">
        <f t="shared" si="177"/>
        <v>8620</v>
      </c>
      <c r="J1206" s="18">
        <f t="shared" si="178"/>
        <v>7908.3333333333339</v>
      </c>
      <c r="K1206" s="66">
        <f t="shared" si="179"/>
        <v>9490</v>
      </c>
      <c r="L1206" s="18">
        <f t="shared" si="180"/>
        <v>8366.6666666666679</v>
      </c>
      <c r="M1206" s="66">
        <f t="shared" si="181"/>
        <v>10040.000000000002</v>
      </c>
      <c r="N1206" s="103"/>
      <c r="O1206" s="20"/>
      <c r="P1206" s="103"/>
      <c r="Q1206" s="103"/>
      <c r="R1206" s="103"/>
      <c r="S1206" s="20"/>
      <c r="T1206" s="103"/>
      <c r="U1206" s="20"/>
      <c r="V1206" s="103"/>
      <c r="W1206" s="20"/>
      <c r="X1206" s="22"/>
      <c r="Y1206" s="22"/>
      <c r="Z1206" s="22"/>
      <c r="AA1206" s="22"/>
      <c r="AB1206" s="22"/>
      <c r="AC1206" s="331">
        <v>7290</v>
      </c>
      <c r="AD1206" s="389">
        <v>8100</v>
      </c>
      <c r="AE1206" s="331">
        <v>8620</v>
      </c>
      <c r="AF1206" s="331">
        <v>9490</v>
      </c>
      <c r="AG1206" s="331">
        <v>10040</v>
      </c>
      <c r="AH1206" s="288">
        <v>7290</v>
      </c>
      <c r="AI1206" s="288">
        <f t="shared" si="182"/>
        <v>0</v>
      </c>
      <c r="AJ1206" s="288">
        <v>8100</v>
      </c>
      <c r="AK1206" s="288">
        <f t="shared" si="183"/>
        <v>0</v>
      </c>
      <c r="AL1206" s="288">
        <v>8620</v>
      </c>
      <c r="AM1206" s="288">
        <f t="shared" si="184"/>
        <v>0</v>
      </c>
      <c r="AN1206" s="288">
        <v>9490</v>
      </c>
      <c r="AO1206" s="288">
        <f t="shared" si="185"/>
        <v>0</v>
      </c>
      <c r="AP1206" s="288">
        <v>10040</v>
      </c>
      <c r="AQ1206" s="288">
        <f t="shared" si="186"/>
        <v>0</v>
      </c>
    </row>
    <row r="1207" spans="1:46" ht="35.1" customHeight="1">
      <c r="A1207" s="8"/>
      <c r="B1207" s="16" t="s">
        <v>11</v>
      </c>
      <c r="C1207" s="17"/>
      <c r="D1207" s="18">
        <f t="shared" si="172"/>
        <v>5541.666666666667</v>
      </c>
      <c r="E1207" s="66">
        <f t="shared" si="173"/>
        <v>6650</v>
      </c>
      <c r="F1207" s="18">
        <f t="shared" si="174"/>
        <v>6150</v>
      </c>
      <c r="G1207" s="66">
        <f t="shared" si="175"/>
        <v>7380</v>
      </c>
      <c r="H1207" s="18">
        <f t="shared" si="176"/>
        <v>6500</v>
      </c>
      <c r="I1207" s="66">
        <f t="shared" si="177"/>
        <v>7800</v>
      </c>
      <c r="J1207" s="18">
        <f t="shared" si="178"/>
        <v>7125</v>
      </c>
      <c r="K1207" s="66">
        <f t="shared" si="179"/>
        <v>8550</v>
      </c>
      <c r="L1207" s="18">
        <f t="shared" si="180"/>
        <v>7466.666666666667</v>
      </c>
      <c r="M1207" s="66">
        <f t="shared" si="181"/>
        <v>8960</v>
      </c>
      <c r="N1207" s="103"/>
      <c r="O1207" s="20"/>
      <c r="P1207" s="103"/>
      <c r="Q1207" s="103"/>
      <c r="R1207" s="103"/>
      <c r="S1207" s="20"/>
      <c r="T1207" s="103"/>
      <c r="U1207" s="20"/>
      <c r="V1207" s="103"/>
      <c r="W1207" s="20"/>
      <c r="X1207" s="22"/>
      <c r="Y1207" s="22"/>
      <c r="Z1207" s="22"/>
      <c r="AA1207" s="22"/>
      <c r="AB1207" s="22"/>
      <c r="AC1207" s="331">
        <v>6650</v>
      </c>
      <c r="AD1207" s="389">
        <v>7380</v>
      </c>
      <c r="AE1207" s="331">
        <v>7800</v>
      </c>
      <c r="AF1207" s="331">
        <v>8550</v>
      </c>
      <c r="AG1207" s="331">
        <v>8960</v>
      </c>
      <c r="AH1207" s="288">
        <v>6650</v>
      </c>
      <c r="AI1207" s="288">
        <f t="shared" si="182"/>
        <v>0</v>
      </c>
      <c r="AJ1207" s="288">
        <v>7380</v>
      </c>
      <c r="AK1207" s="288">
        <f t="shared" si="183"/>
        <v>0</v>
      </c>
      <c r="AL1207" s="288">
        <v>7780</v>
      </c>
      <c r="AM1207" s="288">
        <f t="shared" si="184"/>
        <v>-2.564102564102555E-3</v>
      </c>
      <c r="AN1207" s="288">
        <v>8550</v>
      </c>
      <c r="AO1207" s="288">
        <f t="shared" si="185"/>
        <v>0</v>
      </c>
      <c r="AP1207" s="288">
        <v>8960</v>
      </c>
      <c r="AQ1207" s="288">
        <f t="shared" si="186"/>
        <v>0</v>
      </c>
    </row>
    <row r="1208" spans="1:46" ht="35.1" customHeight="1">
      <c r="A1208" s="8"/>
      <c r="B1208" s="23" t="s">
        <v>12</v>
      </c>
      <c r="C1208" s="24"/>
      <c r="D1208" s="25">
        <f t="shared" si="172"/>
        <v>5541.666666666667</v>
      </c>
      <c r="E1208" s="69">
        <f t="shared" si="173"/>
        <v>6650</v>
      </c>
      <c r="F1208" s="25">
        <f t="shared" si="174"/>
        <v>6150</v>
      </c>
      <c r="G1208" s="69">
        <f t="shared" si="175"/>
        <v>7380</v>
      </c>
      <c r="H1208" s="25">
        <f t="shared" si="176"/>
        <v>6500</v>
      </c>
      <c r="I1208" s="69">
        <f t="shared" si="177"/>
        <v>7800</v>
      </c>
      <c r="J1208" s="25">
        <f t="shared" si="178"/>
        <v>7125</v>
      </c>
      <c r="K1208" s="69">
        <f t="shared" si="179"/>
        <v>8550</v>
      </c>
      <c r="L1208" s="25">
        <f t="shared" si="180"/>
        <v>7466.666666666667</v>
      </c>
      <c r="M1208" s="69">
        <f t="shared" si="181"/>
        <v>8960</v>
      </c>
      <c r="N1208" s="103"/>
      <c r="O1208" s="20"/>
      <c r="P1208" s="103"/>
      <c r="Q1208" s="103"/>
      <c r="R1208" s="103"/>
      <c r="S1208" s="20"/>
      <c r="T1208" s="103"/>
      <c r="U1208" s="20"/>
      <c r="V1208" s="103"/>
      <c r="W1208" s="20"/>
      <c r="X1208" s="22"/>
      <c r="Y1208" s="22"/>
      <c r="Z1208" s="22"/>
      <c r="AA1208" s="22"/>
      <c r="AB1208" s="22"/>
      <c r="AC1208" s="331">
        <v>6650</v>
      </c>
      <c r="AD1208" s="389">
        <v>7380</v>
      </c>
      <c r="AE1208" s="331">
        <v>7800</v>
      </c>
      <c r="AF1208" s="331">
        <v>8550</v>
      </c>
      <c r="AG1208" s="331">
        <v>8960</v>
      </c>
      <c r="AH1208" s="288">
        <v>6650</v>
      </c>
      <c r="AI1208" s="288">
        <f t="shared" si="182"/>
        <v>0</v>
      </c>
      <c r="AJ1208" s="288">
        <v>7380</v>
      </c>
      <c r="AK1208" s="288">
        <f t="shared" si="183"/>
        <v>0</v>
      </c>
      <c r="AL1208" s="288">
        <v>7800</v>
      </c>
      <c r="AM1208" s="288">
        <f t="shared" si="184"/>
        <v>0</v>
      </c>
      <c r="AN1208" s="288">
        <v>8550</v>
      </c>
      <c r="AO1208" s="288">
        <f t="shared" si="185"/>
        <v>0</v>
      </c>
      <c r="AP1208" s="288">
        <v>8960</v>
      </c>
      <c r="AQ1208" s="288">
        <f t="shared" si="186"/>
        <v>0</v>
      </c>
    </row>
    <row r="1209" spans="1:46">
      <c r="C1209" s="244"/>
      <c r="D1209" s="26"/>
      <c r="E1209" s="57"/>
      <c r="F1209" s="26"/>
      <c r="G1209" s="57"/>
      <c r="H1209" s="5"/>
      <c r="P1209" s="103"/>
      <c r="Q1209" s="103"/>
      <c r="AN1209" s="309"/>
    </row>
    <row r="1210" spans="1:46">
      <c r="B1210" s="211" t="str">
        <f>IF($C$1="ENG","For additonal charge:","Послуги за додаткову плату:")</f>
        <v>Послуги за додаткову плату:</v>
      </c>
      <c r="C1210" s="419"/>
      <c r="D1210" s="212"/>
      <c r="E1210" s="213"/>
      <c r="F1210" s="26"/>
      <c r="G1210" s="57"/>
      <c r="H1210" s="10"/>
      <c r="I1210" s="8"/>
      <c r="J1210" s="8"/>
      <c r="K1210" s="8"/>
      <c r="P1210" s="103"/>
      <c r="Q1210" s="103"/>
    </row>
    <row r="1211" spans="1:46" ht="5.0999999999999996" customHeight="1">
      <c r="B1211" s="27"/>
      <c r="C1211" s="244"/>
      <c r="D1211" s="26"/>
      <c r="E1211" s="57"/>
      <c r="F1211" s="26"/>
      <c r="G1211" s="26"/>
      <c r="H1211" s="10"/>
      <c r="I1211" s="8"/>
      <c r="J1211" s="8"/>
      <c r="K1211" s="8"/>
    </row>
    <row r="1212" spans="1:46">
      <c r="B1212" s="561" t="str">
        <f>IF($C$1="ENG","door leaf with width 100","полотно розміром 100")</f>
        <v>полотно розміром 100</v>
      </c>
      <c r="C1212" s="562"/>
      <c r="D1212" s="408">
        <f t="shared" ref="D1212:D1225" si="187">IF(AC1212="","",(1-$W$2)*(AC1212/1.2))</f>
        <v>600</v>
      </c>
      <c r="E1212" s="91">
        <f t="shared" ref="E1212:E1224" si="188">IF($W$5=0.2,D1212*1.2,D1212)/$W$4</f>
        <v>720</v>
      </c>
      <c r="F1212" s="26"/>
      <c r="G1212" s="26"/>
      <c r="H1212" s="10"/>
      <c r="I1212" s="8"/>
      <c r="J1212" s="8"/>
      <c r="K1212" s="8"/>
      <c r="AC1212" s="288">
        <v>720</v>
      </c>
      <c r="AD1212" s="288">
        <v>720</v>
      </c>
      <c r="AE1212" s="288"/>
      <c r="AF1212" s="288"/>
      <c r="AG1212" s="288"/>
      <c r="AH1212" s="288"/>
      <c r="AI1212" s="288"/>
      <c r="AJ1212" s="288"/>
      <c r="AK1212" s="288"/>
      <c r="AL1212" s="288"/>
    </row>
    <row r="1213" spans="1:46">
      <c r="B1213" s="554" t="str">
        <f>IF($C$1="ENG","Ventilation sleeves (1 row)","вентиляційні віддушини (1ряд)")</f>
        <v>вентиляційні віддушини (1ряд)</v>
      </c>
      <c r="C1213" s="555"/>
      <c r="D1213" s="403">
        <f t="shared" si="187"/>
        <v>208.33333333333334</v>
      </c>
      <c r="E1213" s="92">
        <f t="shared" si="188"/>
        <v>250</v>
      </c>
      <c r="F1213" s="26"/>
      <c r="G1213" s="26"/>
      <c r="I1213" s="11"/>
      <c r="J1213" s="11"/>
      <c r="K1213" s="11"/>
      <c r="AC1213" s="288">
        <v>250</v>
      </c>
      <c r="AD1213" s="288">
        <v>250</v>
      </c>
      <c r="AE1213" s="288"/>
      <c r="AF1213" s="288"/>
      <c r="AG1213" s="288"/>
      <c r="AH1213" s="288"/>
      <c r="AI1213" s="288"/>
      <c r="AJ1213" s="288"/>
      <c r="AK1213" s="288"/>
      <c r="AL1213" s="288"/>
    </row>
    <row r="1214" spans="1:46">
      <c r="B1214" s="561" t="str">
        <f>IF($C$1="ENG","Ventilation cut","вентиляційний підріз")</f>
        <v>вентиляційний підріз</v>
      </c>
      <c r="C1214" s="562"/>
      <c r="D1214" s="403">
        <f t="shared" si="187"/>
        <v>141.66666666666669</v>
      </c>
      <c r="E1214" s="66">
        <f t="shared" si="188"/>
        <v>170.00000000000003</v>
      </c>
      <c r="F1214" s="26"/>
      <c r="G1214" s="26"/>
      <c r="I1214" s="59"/>
      <c r="J1214" s="28"/>
      <c r="AC1214" s="288">
        <v>170</v>
      </c>
      <c r="AD1214" s="288">
        <v>170</v>
      </c>
      <c r="AE1214" s="288"/>
      <c r="AF1214" s="288"/>
      <c r="AG1214" s="288"/>
      <c r="AH1214" s="288"/>
      <c r="AI1214" s="288"/>
      <c r="AJ1214" s="288"/>
      <c r="AK1214" s="288"/>
      <c r="AL1214" s="288"/>
    </row>
    <row r="1215" spans="1:46">
      <c r="B1215" s="554" t="str">
        <f>IF($C$1="ENG","glazing Graphite / Bronze","скло Графіт / Бронза")</f>
        <v>скло Графіт / Бронза</v>
      </c>
      <c r="C1215" s="555"/>
      <c r="D1215" s="405">
        <f t="shared" si="187"/>
        <v>458.33333333333337</v>
      </c>
      <c r="E1215" s="92">
        <f t="shared" si="188"/>
        <v>550</v>
      </c>
      <c r="F1215" s="26"/>
      <c r="G1215" s="26"/>
      <c r="H1215" s="5"/>
      <c r="AC1215" s="288">
        <v>550</v>
      </c>
      <c r="AD1215" s="288">
        <v>550</v>
      </c>
      <c r="AE1215" s="288"/>
      <c r="AF1215" s="288"/>
      <c r="AG1215" s="288"/>
      <c r="AH1215" s="288"/>
      <c r="AI1215" s="288"/>
      <c r="AJ1215" s="288"/>
      <c r="AK1215" s="288"/>
      <c r="AL1215" s="288"/>
    </row>
    <row r="1216" spans="1:46">
      <c r="B1216" s="554" t="str">
        <f>IF($C$1="ENG","glazing Lacobel black ","скло Lacobel чорне")</f>
        <v>скло Lacobel чорне</v>
      </c>
      <c r="C1216" s="555"/>
      <c r="D1216" s="405">
        <f t="shared" si="187"/>
        <v>458.33333333333337</v>
      </c>
      <c r="E1216" s="92">
        <f>IF($W$5=0.2,D1216*1.2,D1216)/$W$4</f>
        <v>550</v>
      </c>
      <c r="F1216" s="26"/>
      <c r="G1216" s="26"/>
      <c r="H1216" s="5"/>
      <c r="AC1216" s="297">
        <v>550</v>
      </c>
      <c r="AD1216" s="297">
        <v>550</v>
      </c>
      <c r="AE1216" s="288"/>
      <c r="AF1216" s="288"/>
      <c r="AG1216" s="288"/>
      <c r="AH1216" s="288"/>
      <c r="AI1216" s="288"/>
      <c r="AJ1216" s="288"/>
      <c r="AK1216" s="288"/>
      <c r="AL1216" s="288"/>
    </row>
    <row r="1217" spans="2:38">
      <c r="B1217" s="554" t="str">
        <f>IF($C$1="ENG","door lock Soft","замок Soft")</f>
        <v>замок Soft</v>
      </c>
      <c r="C1217" s="555"/>
      <c r="D1217" s="405">
        <f t="shared" si="187"/>
        <v>458.33333333333337</v>
      </c>
      <c r="E1217" s="92">
        <f t="shared" si="188"/>
        <v>550</v>
      </c>
      <c r="F1217" s="26"/>
      <c r="G1217" s="26"/>
      <c r="H1217" s="5"/>
      <c r="AC1217" s="288">
        <v>550</v>
      </c>
      <c r="AD1217" s="288">
        <v>550</v>
      </c>
      <c r="AE1217" s="288"/>
      <c r="AF1217" s="288"/>
      <c r="AG1217" s="288"/>
      <c r="AH1217" s="288"/>
      <c r="AI1217" s="288"/>
      <c r="AJ1217" s="288"/>
      <c r="AK1217" s="288"/>
      <c r="AL1217" s="288"/>
    </row>
    <row r="1218" spans="2:38">
      <c r="B1218" s="554" t="str">
        <f>IF($C$1="ENG","door lock Soft black","замок Soft чорн.")</f>
        <v>замок Soft чорн.</v>
      </c>
      <c r="C1218" s="555"/>
      <c r="D1218" s="405">
        <f t="shared" ref="D1218" si="189">IF(AC1218="","",(1-$W$2)*(AC1218/1.2))</f>
        <v>566.66666666666674</v>
      </c>
      <c r="E1218" s="92">
        <f t="shared" ref="E1218" si="190">IF($W$5=0.2,D1218*1.2,D1218)/$W$4</f>
        <v>680.00000000000011</v>
      </c>
      <c r="F1218" s="26"/>
      <c r="G1218" s="26"/>
      <c r="H1218" s="5"/>
      <c r="AC1218" s="288">
        <v>680</v>
      </c>
      <c r="AD1218" s="288"/>
      <c r="AE1218" s="288"/>
      <c r="AF1218" s="288"/>
      <c r="AG1218" s="288"/>
      <c r="AH1218" s="288"/>
      <c r="AI1218" s="288"/>
      <c r="AJ1218" s="288"/>
      <c r="AK1218" s="288"/>
      <c r="AL1218" s="288"/>
    </row>
    <row r="1219" spans="2:38">
      <c r="B1219" s="554" t="str">
        <f>IF($C$1="ENG","door lock Magnet","замок Magnet")</f>
        <v>замок Magnet</v>
      </c>
      <c r="C1219" s="555"/>
      <c r="D1219" s="405">
        <f t="shared" si="187"/>
        <v>666.66666666666674</v>
      </c>
      <c r="E1219" s="92">
        <f t="shared" si="188"/>
        <v>800.00000000000011</v>
      </c>
      <c r="F1219" s="26"/>
      <c r="G1219" s="26"/>
      <c r="H1219" s="5"/>
      <c r="AC1219" s="288">
        <v>800</v>
      </c>
      <c r="AD1219" s="288">
        <v>800</v>
      </c>
      <c r="AE1219" s="288"/>
      <c r="AF1219" s="288"/>
      <c r="AG1219" s="288"/>
      <c r="AH1219" s="288"/>
      <c r="AI1219" s="288"/>
      <c r="AJ1219" s="288"/>
      <c r="AK1219" s="288"/>
      <c r="AL1219" s="288"/>
    </row>
    <row r="1220" spans="2:38">
      <c r="B1220" s="554" t="s">
        <v>66</v>
      </c>
      <c r="C1220" s="554"/>
      <c r="D1220" s="405">
        <f t="shared" ref="D1220" si="191">IF(AC1220="","",(1-$W$2)*(AC1220/1.2))</f>
        <v>833.33333333333337</v>
      </c>
      <c r="E1220" s="92">
        <f t="shared" ref="E1220" si="192">IF($W$5=0.2,D1220*1.2,D1220)/$W$4</f>
        <v>1000</v>
      </c>
      <c r="F1220" s="26"/>
      <c r="G1220" s="26"/>
      <c r="H1220" s="5"/>
      <c r="AC1220" s="288">
        <v>1000</v>
      </c>
      <c r="AD1220" s="288"/>
      <c r="AE1220" s="288"/>
      <c r="AF1220" s="288"/>
      <c r="AG1220" s="288"/>
      <c r="AH1220" s="288"/>
      <c r="AI1220" s="288"/>
      <c r="AJ1220" s="288"/>
      <c r="AK1220" s="288"/>
      <c r="AL1220" s="288"/>
    </row>
    <row r="1221" spans="2:38">
      <c r="B1221" s="554" t="str">
        <f>IF($C$1="ENG","door handle-lock (for sliding doors)","ручка-замок (для дверей купе)")</f>
        <v>ручка-замок (для дверей купе)</v>
      </c>
      <c r="C1221" s="555"/>
      <c r="D1221" s="403">
        <f t="shared" si="187"/>
        <v>466.66666666666669</v>
      </c>
      <c r="E1221" s="92">
        <f t="shared" si="188"/>
        <v>560</v>
      </c>
      <c r="F1221" s="26"/>
      <c r="G1221" s="26"/>
      <c r="I1221" s="11"/>
      <c r="J1221" s="11"/>
      <c r="K1221" s="19"/>
      <c r="AC1221" s="288">
        <v>560</v>
      </c>
      <c r="AD1221" s="288">
        <v>560</v>
      </c>
      <c r="AE1221" s="288"/>
      <c r="AF1221" s="288"/>
      <c r="AG1221" s="288"/>
      <c r="AH1221" s="288"/>
      <c r="AI1221" s="288"/>
      <c r="AJ1221" s="288"/>
      <c r="AK1221" s="288"/>
      <c r="AL1221" s="288"/>
    </row>
    <row r="1222" spans="2:38">
      <c r="B1222" s="554" t="str">
        <f>IF($C$1="ENG","cylinder incert","циліндр несиметричний")</f>
        <v>циліндр несиметричний</v>
      </c>
      <c r="C1222" s="555"/>
      <c r="D1222" s="403">
        <f t="shared" si="187"/>
        <v>316.66666666666669</v>
      </c>
      <c r="E1222" s="92">
        <f t="shared" si="188"/>
        <v>380</v>
      </c>
      <c r="F1222" s="26"/>
      <c r="G1222" s="26"/>
      <c r="AC1222" s="288">
        <v>380</v>
      </c>
      <c r="AD1222" s="288">
        <v>380</v>
      </c>
      <c r="AE1222" s="288"/>
      <c r="AF1222" s="288"/>
      <c r="AG1222" s="288"/>
      <c r="AH1222" s="288"/>
      <c r="AI1222" s="288"/>
      <c r="AJ1222" s="288"/>
      <c r="AK1222" s="288"/>
      <c r="AL1222" s="288"/>
    </row>
    <row r="1223" spans="2:38">
      <c r="B1223" s="554" t="str">
        <f>IF($C$1="ENG","door hindge Prestige (1 unit)","завіса Prestige (1 шт)")</f>
        <v>завіса Prestige (1 шт)</v>
      </c>
      <c r="C1223" s="555"/>
      <c r="D1223" s="406">
        <f t="shared" si="187"/>
        <v>216.66666666666669</v>
      </c>
      <c r="E1223" s="92">
        <f t="shared" si="188"/>
        <v>260</v>
      </c>
      <c r="F1223" s="26"/>
      <c r="G1223" s="26"/>
      <c r="AC1223" s="288">
        <v>260</v>
      </c>
      <c r="AD1223" s="288">
        <v>260</v>
      </c>
      <c r="AE1223" s="288"/>
      <c r="AF1223" s="288"/>
      <c r="AG1223" s="288"/>
      <c r="AH1223" s="288"/>
      <c r="AI1223" s="288"/>
      <c r="AJ1223" s="288"/>
      <c r="AK1223" s="288"/>
      <c r="AL1223" s="288"/>
    </row>
    <row r="1224" spans="2:38">
      <c r="B1224" s="554" t="str">
        <f>IF($C$1="ENG","door hinge caps (1 set)","накладка на завіси (1 к-т)")</f>
        <v>накладка на завіси (1 к-т)</v>
      </c>
      <c r="C1224" s="555"/>
      <c r="D1224" s="406">
        <f t="shared" si="187"/>
        <v>66.666666666666671</v>
      </c>
      <c r="E1224" s="92">
        <f t="shared" si="188"/>
        <v>80</v>
      </c>
      <c r="F1224" s="26"/>
      <c r="G1224" s="26"/>
      <c r="AC1224" s="288">
        <v>80</v>
      </c>
      <c r="AD1224" s="288">
        <v>80</v>
      </c>
      <c r="AE1224" s="288"/>
      <c r="AF1224" s="288"/>
      <c r="AG1224" s="288"/>
      <c r="AH1224" s="288"/>
      <c r="AI1224" s="288"/>
      <c r="AJ1224" s="288"/>
      <c r="AK1224" s="288"/>
      <c r="AL1224" s="288"/>
    </row>
    <row r="1225" spans="2:38">
      <c r="B1225" s="554" t="str">
        <f>IF($C$1="ENG","door handle","дверна ручка")</f>
        <v>дверна ручка</v>
      </c>
      <c r="C1225" s="555"/>
      <c r="D1225" s="407" t="str">
        <f t="shared" si="187"/>
        <v/>
      </c>
      <c r="E1225" s="246" t="str">
        <f>IF($C$1="ENG","see Handles Price","див. Таблицю Ручки")</f>
        <v>див. Таблицю Ручки</v>
      </c>
      <c r="F1225" s="26"/>
      <c r="G1225" s="26"/>
      <c r="AC1225" s="288"/>
      <c r="AD1225" s="288"/>
      <c r="AE1225" s="288"/>
      <c r="AF1225" s="288"/>
      <c r="AG1225" s="288"/>
      <c r="AH1225" s="288"/>
      <c r="AI1225" s="288"/>
      <c r="AJ1225" s="288"/>
      <c r="AK1225" s="288"/>
      <c r="AL1225" s="288"/>
    </row>
    <row r="1226" spans="2:38" ht="14.25" customHeight="1">
      <c r="C1226" s="244"/>
      <c r="D1226" s="26"/>
      <c r="E1226" s="26"/>
      <c r="F1226" s="26"/>
      <c r="G1226" s="26"/>
      <c r="H1226" s="5"/>
      <c r="T1226" s="536"/>
      <c r="U1226" s="536"/>
      <c r="V1226" s="536"/>
      <c r="W1226" s="536"/>
    </row>
    <row r="1227" spans="2:38" ht="14.25" customHeight="1">
      <c r="C1227" s="244"/>
      <c r="D1227" s="26"/>
      <c r="E1227" s="26"/>
      <c r="F1227" s="26"/>
      <c r="G1227" s="26"/>
      <c r="H1227" s="5"/>
      <c r="T1227" s="114"/>
      <c r="U1227" s="114"/>
      <c r="V1227" s="114"/>
      <c r="W1227" s="114"/>
    </row>
    <row r="1228" spans="2:38" ht="14.25" customHeight="1">
      <c r="C1228" s="244"/>
      <c r="D1228" s="26"/>
      <c r="E1228" s="26"/>
      <c r="F1228" s="26"/>
      <c r="G1228" s="26"/>
      <c r="H1228" s="5"/>
      <c r="T1228" s="114"/>
      <c r="U1228" s="114"/>
      <c r="V1228" s="114"/>
      <c r="W1228" s="114"/>
    </row>
    <row r="1229" spans="2:38" ht="14.25" customHeight="1">
      <c r="C1229" s="244"/>
      <c r="D1229" s="26"/>
      <c r="E1229" s="26"/>
      <c r="F1229" s="26"/>
      <c r="G1229" s="26"/>
      <c r="H1229" s="5"/>
      <c r="T1229" s="114"/>
      <c r="U1229" s="114"/>
      <c r="V1229" s="114"/>
      <c r="W1229" s="114"/>
    </row>
    <row r="1230" spans="2:38" ht="14.25" customHeight="1">
      <c r="C1230" s="244"/>
      <c r="D1230" s="26"/>
      <c r="E1230" s="26"/>
      <c r="F1230" s="26"/>
      <c r="G1230" s="26"/>
      <c r="H1230" s="5"/>
      <c r="T1230" s="114"/>
      <c r="U1230" s="114"/>
      <c r="V1230" s="114"/>
      <c r="W1230" s="114"/>
    </row>
    <row r="1231" spans="2:38" ht="14.25" customHeight="1">
      <c r="C1231" s="244"/>
      <c r="D1231" s="26"/>
      <c r="E1231" s="26"/>
      <c r="F1231" s="26"/>
      <c r="G1231" s="26"/>
      <c r="H1231" s="5"/>
      <c r="T1231" s="114"/>
      <c r="U1231" s="114"/>
      <c r="V1231" s="114"/>
      <c r="W1231" s="114"/>
    </row>
    <row r="1232" spans="2:38" ht="14.25" customHeight="1">
      <c r="C1232" s="244"/>
      <c r="D1232" s="26"/>
      <c r="E1232" s="26"/>
      <c r="F1232" s="26"/>
      <c r="G1232" s="26"/>
      <c r="H1232" s="5"/>
      <c r="T1232" s="114"/>
      <c r="U1232" s="114"/>
      <c r="V1232" s="114"/>
      <c r="W1232" s="114"/>
    </row>
    <row r="1233" spans="3:23" ht="14.25" customHeight="1">
      <c r="C1233" s="244"/>
      <c r="D1233" s="26"/>
      <c r="E1233" s="26"/>
      <c r="F1233" s="26"/>
      <c r="G1233" s="26"/>
      <c r="H1233" s="5"/>
      <c r="T1233" s="114"/>
      <c r="U1233" s="114"/>
      <c r="V1233" s="114"/>
      <c r="W1233" s="114"/>
    </row>
    <row r="1234" spans="3:23" ht="14.25" customHeight="1">
      <c r="C1234" s="244"/>
      <c r="D1234" s="26"/>
      <c r="E1234" s="26"/>
      <c r="F1234" s="26"/>
      <c r="G1234" s="26"/>
      <c r="H1234" s="5"/>
      <c r="T1234" s="114"/>
      <c r="U1234" s="114"/>
      <c r="V1234" s="114"/>
      <c r="W1234" s="114"/>
    </row>
    <row r="1235" spans="3:23" ht="14.25" customHeight="1">
      <c r="C1235" s="244"/>
      <c r="D1235" s="26"/>
      <c r="E1235" s="26"/>
      <c r="F1235" s="26"/>
      <c r="G1235" s="26"/>
      <c r="H1235" s="5"/>
      <c r="T1235" s="114"/>
      <c r="U1235" s="114"/>
      <c r="V1235" s="114"/>
      <c r="W1235" s="114"/>
    </row>
    <row r="1236" spans="3:23" ht="14.25" customHeight="1">
      <c r="C1236" s="244"/>
      <c r="D1236" s="26"/>
      <c r="E1236" s="26"/>
      <c r="F1236" s="26"/>
      <c r="G1236" s="26"/>
      <c r="H1236" s="5"/>
      <c r="T1236" s="114"/>
      <c r="U1236" s="114"/>
      <c r="V1236" s="114"/>
      <c r="W1236" s="114"/>
    </row>
    <row r="1237" spans="3:23" ht="14.25" customHeight="1">
      <c r="C1237" s="244"/>
      <c r="D1237" s="26"/>
      <c r="E1237" s="26"/>
      <c r="F1237" s="26"/>
      <c r="G1237" s="26"/>
      <c r="H1237" s="5"/>
      <c r="T1237" s="114"/>
      <c r="U1237" s="114"/>
      <c r="V1237" s="114"/>
      <c r="W1237" s="114"/>
    </row>
    <row r="1238" spans="3:23" ht="14.25" customHeight="1">
      <c r="C1238" s="244"/>
      <c r="D1238" s="26"/>
      <c r="E1238" s="26"/>
      <c r="F1238" s="26"/>
      <c r="G1238" s="26"/>
      <c r="H1238" s="5"/>
      <c r="T1238" s="114"/>
      <c r="U1238" s="114"/>
      <c r="V1238" s="114"/>
      <c r="W1238" s="114"/>
    </row>
    <row r="1239" spans="3:23" ht="14.25" customHeight="1">
      <c r="C1239" s="244"/>
      <c r="D1239" s="26"/>
      <c r="E1239" s="26"/>
      <c r="F1239" s="26"/>
      <c r="G1239" s="26"/>
      <c r="H1239" s="5"/>
      <c r="T1239" s="114"/>
      <c r="U1239" s="114"/>
      <c r="V1239" s="114"/>
      <c r="W1239" s="114"/>
    </row>
    <row r="1240" spans="3:23" ht="14.25" customHeight="1">
      <c r="C1240" s="244"/>
      <c r="D1240" s="26"/>
      <c r="E1240" s="26"/>
      <c r="F1240" s="26"/>
      <c r="G1240" s="26"/>
      <c r="H1240" s="5"/>
      <c r="T1240" s="114"/>
      <c r="U1240" s="114"/>
      <c r="V1240" s="114"/>
      <c r="W1240" s="114"/>
    </row>
    <row r="1241" spans="3:23" ht="14.25" customHeight="1">
      <c r="C1241" s="244"/>
      <c r="D1241" s="26"/>
      <c r="E1241" s="26"/>
      <c r="F1241" s="26"/>
      <c r="G1241" s="26"/>
      <c r="H1241" s="5"/>
      <c r="T1241" s="114"/>
      <c r="U1241" s="114"/>
      <c r="V1241" s="114"/>
      <c r="W1241" s="114"/>
    </row>
    <row r="1242" spans="3:23" ht="14.25" customHeight="1">
      <c r="C1242" s="244"/>
      <c r="D1242" s="26"/>
      <c r="E1242" s="26"/>
      <c r="F1242" s="26"/>
      <c r="G1242" s="26"/>
      <c r="H1242" s="5"/>
      <c r="T1242" s="114"/>
      <c r="U1242" s="114"/>
      <c r="V1242" s="114"/>
      <c r="W1242" s="114"/>
    </row>
    <row r="1243" spans="3:23" ht="14.25" customHeight="1">
      <c r="C1243" s="244"/>
      <c r="D1243" s="26"/>
      <c r="E1243" s="26"/>
      <c r="F1243" s="26"/>
      <c r="G1243" s="26"/>
      <c r="H1243" s="5"/>
      <c r="T1243" s="114"/>
      <c r="U1243" s="114"/>
      <c r="V1243" s="114"/>
      <c r="W1243" s="114"/>
    </row>
    <row r="1244" spans="3:23" ht="14.25" customHeight="1">
      <c r="C1244" s="244"/>
      <c r="D1244" s="26"/>
      <c r="E1244" s="26"/>
      <c r="F1244" s="26"/>
      <c r="G1244" s="26"/>
      <c r="H1244" s="5"/>
      <c r="T1244" s="114"/>
      <c r="U1244" s="114"/>
      <c r="V1244" s="114"/>
      <c r="W1244" s="114"/>
    </row>
    <row r="1245" spans="3:23" ht="14.25" customHeight="1">
      <c r="C1245" s="244"/>
      <c r="D1245" s="26"/>
      <c r="E1245" s="26"/>
      <c r="F1245" s="26"/>
      <c r="G1245" s="26"/>
      <c r="H1245" s="5"/>
      <c r="T1245" s="114"/>
      <c r="U1245" s="114"/>
      <c r="V1245" s="114"/>
      <c r="W1245" s="114"/>
    </row>
    <row r="1246" spans="3:23" ht="14.25" customHeight="1">
      <c r="C1246" s="244"/>
      <c r="D1246" s="26"/>
      <c r="E1246" s="26"/>
      <c r="F1246" s="26"/>
      <c r="G1246" s="26"/>
      <c r="H1246" s="5"/>
      <c r="T1246" s="114"/>
      <c r="U1246" s="114"/>
      <c r="V1246" s="114"/>
      <c r="W1246" s="114"/>
    </row>
    <row r="1247" spans="3:23" ht="14.25" customHeight="1">
      <c r="C1247" s="244"/>
      <c r="D1247" s="26"/>
      <c r="E1247" s="26"/>
      <c r="F1247" s="26"/>
      <c r="G1247" s="26"/>
      <c r="H1247" s="5"/>
      <c r="T1247" s="114"/>
      <c r="U1247" s="114"/>
      <c r="V1247" s="114"/>
      <c r="W1247" s="114"/>
    </row>
    <row r="1248" spans="3:23" ht="14.25" customHeight="1">
      <c r="C1248" s="244"/>
      <c r="D1248" s="26"/>
      <c r="E1248" s="26"/>
      <c r="F1248" s="26"/>
      <c r="G1248" s="26"/>
      <c r="H1248" s="5"/>
      <c r="T1248" s="114"/>
      <c r="U1248" s="114"/>
      <c r="V1248" s="114"/>
      <c r="W1248" s="114"/>
    </row>
    <row r="1249" spans="3:23" ht="14.25" customHeight="1">
      <c r="C1249" s="244"/>
      <c r="D1249" s="26"/>
      <c r="E1249" s="26"/>
      <c r="F1249" s="26"/>
      <c r="G1249" s="26"/>
      <c r="H1249" s="5"/>
      <c r="T1249" s="114"/>
      <c r="U1249" s="114"/>
      <c r="V1249" s="114"/>
      <c r="W1249" s="114"/>
    </row>
    <row r="1250" spans="3:23" ht="14.25" customHeight="1">
      <c r="C1250" s="244"/>
      <c r="D1250" s="26"/>
      <c r="E1250" s="26"/>
      <c r="F1250" s="26"/>
      <c r="G1250" s="26"/>
      <c r="H1250" s="5"/>
      <c r="T1250" s="114"/>
      <c r="U1250" s="114"/>
      <c r="V1250" s="114"/>
      <c r="W1250" s="114"/>
    </row>
    <row r="1251" spans="3:23" ht="14.25" customHeight="1">
      <c r="C1251" s="244"/>
      <c r="D1251" s="26"/>
      <c r="E1251" s="26"/>
      <c r="F1251" s="26"/>
      <c r="G1251" s="26"/>
      <c r="H1251" s="5"/>
      <c r="T1251" s="114"/>
      <c r="U1251" s="114"/>
      <c r="V1251" s="114"/>
      <c r="W1251" s="114"/>
    </row>
    <row r="1252" spans="3:23" ht="14.25" customHeight="1">
      <c r="C1252" s="244"/>
      <c r="D1252" s="26"/>
      <c r="E1252" s="26"/>
      <c r="F1252" s="26"/>
      <c r="G1252" s="26"/>
      <c r="H1252" s="5"/>
      <c r="T1252" s="114"/>
      <c r="U1252" s="114"/>
      <c r="V1252" s="114"/>
      <c r="W1252" s="114"/>
    </row>
    <row r="1253" spans="3:23" ht="14.25" customHeight="1">
      <c r="C1253" s="244"/>
      <c r="D1253" s="26"/>
      <c r="E1253" s="26"/>
      <c r="F1253" s="26"/>
      <c r="G1253" s="26"/>
      <c r="H1253" s="5"/>
      <c r="T1253" s="114"/>
      <c r="U1253" s="114"/>
      <c r="V1253" s="114"/>
      <c r="W1253" s="114"/>
    </row>
    <row r="1254" spans="3:23" ht="14.25" customHeight="1">
      <c r="C1254" s="244"/>
      <c r="D1254" s="26"/>
      <c r="E1254" s="26"/>
      <c r="F1254" s="26"/>
      <c r="G1254" s="26"/>
      <c r="H1254" s="5"/>
      <c r="T1254" s="114"/>
      <c r="U1254" s="114"/>
      <c r="V1254" s="114"/>
      <c r="W1254" s="114"/>
    </row>
    <row r="1255" spans="3:23" ht="14.25" customHeight="1">
      <c r="C1255" s="244"/>
      <c r="D1255" s="26"/>
      <c r="E1255" s="26"/>
      <c r="F1255" s="26"/>
      <c r="G1255" s="26"/>
      <c r="H1255" s="5"/>
      <c r="T1255" s="114"/>
      <c r="U1255" s="114"/>
      <c r="V1255" s="114"/>
      <c r="W1255" s="114"/>
    </row>
    <row r="1256" spans="3:23" ht="14.25" customHeight="1">
      <c r="C1256" s="244"/>
      <c r="D1256" s="26"/>
      <c r="E1256" s="26"/>
      <c r="F1256" s="26"/>
      <c r="G1256" s="26"/>
      <c r="H1256" s="5"/>
      <c r="T1256" s="114"/>
      <c r="U1256" s="114"/>
      <c r="V1256" s="114"/>
      <c r="W1256" s="114"/>
    </row>
    <row r="1257" spans="3:23" ht="14.25" customHeight="1">
      <c r="C1257" s="244"/>
      <c r="D1257" s="26"/>
      <c r="E1257" s="26"/>
      <c r="F1257" s="26"/>
      <c r="G1257" s="26"/>
      <c r="H1257" s="5"/>
      <c r="T1257" s="114"/>
      <c r="U1257" s="114"/>
      <c r="V1257" s="114"/>
      <c r="W1257" s="114"/>
    </row>
    <row r="1258" spans="3:23" ht="14.25" customHeight="1">
      <c r="C1258" s="244"/>
      <c r="D1258" s="26"/>
      <c r="E1258" s="26"/>
      <c r="F1258" s="26"/>
      <c r="G1258" s="26"/>
      <c r="H1258" s="5"/>
      <c r="T1258" s="114"/>
      <c r="U1258" s="114"/>
      <c r="V1258" s="114"/>
      <c r="W1258" s="114"/>
    </row>
    <row r="1259" spans="3:23" ht="14.25" customHeight="1">
      <c r="C1259" s="244"/>
      <c r="D1259" s="26"/>
      <c r="E1259" s="26"/>
      <c r="F1259" s="26"/>
      <c r="G1259" s="26"/>
      <c r="H1259" s="5"/>
      <c r="T1259" s="114"/>
      <c r="U1259" s="114"/>
      <c r="V1259" s="114"/>
      <c r="W1259" s="114"/>
    </row>
    <row r="1260" spans="3:23" ht="14.25" customHeight="1">
      <c r="C1260" s="244"/>
      <c r="D1260" s="26"/>
      <c r="E1260" s="26"/>
      <c r="F1260" s="26"/>
      <c r="G1260" s="26"/>
      <c r="H1260" s="5"/>
      <c r="T1260" s="114"/>
      <c r="U1260" s="114"/>
      <c r="V1260" s="114"/>
      <c r="W1260" s="114"/>
    </row>
    <row r="1261" spans="3:23" ht="14.25" customHeight="1">
      <c r="C1261" s="244"/>
      <c r="D1261" s="26"/>
      <c r="E1261" s="26"/>
      <c r="F1261" s="26"/>
      <c r="G1261" s="26"/>
      <c r="H1261" s="5"/>
      <c r="T1261" s="114"/>
      <c r="U1261" s="114"/>
      <c r="V1261" s="114"/>
      <c r="W1261" s="114"/>
    </row>
    <row r="1262" spans="3:23" ht="14.25" customHeight="1">
      <c r="C1262" s="244"/>
      <c r="D1262" s="26"/>
      <c r="E1262" s="26"/>
      <c r="F1262" s="26"/>
      <c r="G1262" s="26"/>
      <c r="H1262" s="5"/>
      <c r="T1262" s="114"/>
      <c r="U1262" s="114"/>
      <c r="V1262" s="114"/>
      <c r="W1262" s="114"/>
    </row>
    <row r="1263" spans="3:23" ht="14.25" customHeight="1">
      <c r="C1263" s="244"/>
      <c r="D1263" s="26"/>
      <c r="E1263" s="26"/>
      <c r="F1263" s="26"/>
      <c r="G1263" s="26"/>
      <c r="H1263" s="5"/>
      <c r="T1263" s="114"/>
      <c r="U1263" s="114"/>
      <c r="V1263" s="114"/>
      <c r="W1263" s="114"/>
    </row>
    <row r="1264" spans="3:23" ht="14.25" customHeight="1">
      <c r="C1264" s="244"/>
      <c r="D1264" s="26"/>
      <c r="E1264" s="26"/>
      <c r="F1264" s="26"/>
      <c r="G1264" s="26"/>
      <c r="H1264" s="5"/>
      <c r="T1264" s="114"/>
      <c r="U1264" s="114"/>
      <c r="V1264" s="114"/>
      <c r="W1264" s="114"/>
    </row>
    <row r="1265" spans="3:23" ht="14.25" customHeight="1">
      <c r="C1265" s="244"/>
      <c r="D1265" s="26"/>
      <c r="E1265" s="26"/>
      <c r="F1265" s="26"/>
      <c r="G1265" s="26"/>
      <c r="H1265" s="5"/>
      <c r="T1265" s="114"/>
      <c r="U1265" s="114"/>
      <c r="V1265" s="114"/>
      <c r="W1265" s="114"/>
    </row>
    <row r="1266" spans="3:23" ht="14.25" customHeight="1">
      <c r="C1266" s="244"/>
      <c r="D1266" s="26"/>
      <c r="E1266" s="26"/>
      <c r="F1266" s="26"/>
      <c r="G1266" s="26"/>
      <c r="H1266" s="5"/>
      <c r="T1266" s="114"/>
      <c r="U1266" s="114"/>
      <c r="V1266" s="114"/>
      <c r="W1266" s="114"/>
    </row>
    <row r="1267" spans="3:23" ht="14.25" customHeight="1">
      <c r="C1267" s="244"/>
      <c r="D1267" s="26"/>
      <c r="E1267" s="26"/>
      <c r="F1267" s="26"/>
      <c r="G1267" s="26"/>
      <c r="H1267" s="5"/>
      <c r="T1267" s="114"/>
      <c r="U1267" s="114"/>
      <c r="V1267" s="114"/>
      <c r="W1267" s="114"/>
    </row>
    <row r="1268" spans="3:23" ht="14.25" customHeight="1">
      <c r="C1268" s="244"/>
      <c r="D1268" s="26"/>
      <c r="E1268" s="26"/>
      <c r="F1268" s="26"/>
      <c r="G1268" s="26"/>
      <c r="H1268" s="5"/>
      <c r="T1268" s="114"/>
      <c r="U1268" s="114"/>
      <c r="V1268" s="114"/>
      <c r="W1268" s="114"/>
    </row>
    <row r="1269" spans="3:23" ht="14.25" customHeight="1">
      <c r="C1269" s="244"/>
      <c r="D1269" s="26"/>
      <c r="E1269" s="26"/>
      <c r="F1269" s="26"/>
      <c r="G1269" s="26"/>
      <c r="H1269" s="5"/>
      <c r="T1269" s="114"/>
      <c r="U1269" s="114"/>
      <c r="V1269" s="114"/>
      <c r="W1269" s="114"/>
    </row>
    <row r="1270" spans="3:23" ht="14.25" customHeight="1">
      <c r="C1270" s="244"/>
      <c r="D1270" s="26"/>
      <c r="E1270" s="26"/>
      <c r="F1270" s="26"/>
      <c r="G1270" s="26"/>
      <c r="H1270" s="5"/>
      <c r="T1270" s="114"/>
      <c r="U1270" s="114"/>
      <c r="V1270" s="114"/>
      <c r="W1270" s="114"/>
    </row>
    <row r="1271" spans="3:23" ht="14.25" customHeight="1">
      <c r="C1271" s="244"/>
      <c r="D1271" s="26"/>
      <c r="E1271" s="26"/>
      <c r="F1271" s="26"/>
      <c r="G1271" s="26"/>
      <c r="H1271" s="5"/>
      <c r="T1271" s="114"/>
      <c r="U1271" s="114"/>
      <c r="V1271" s="114"/>
      <c r="W1271" s="114"/>
    </row>
    <row r="1272" spans="3:23" ht="14.25" customHeight="1">
      <c r="C1272" s="244"/>
      <c r="D1272" s="26"/>
      <c r="E1272" s="26"/>
      <c r="F1272" s="26"/>
      <c r="G1272" s="26"/>
      <c r="H1272" s="5"/>
      <c r="T1272" s="114"/>
      <c r="U1272" s="114"/>
      <c r="V1272" s="114"/>
      <c r="W1272" s="114"/>
    </row>
    <row r="1273" spans="3:23" ht="14.25" customHeight="1">
      <c r="C1273" s="244"/>
      <c r="D1273" s="26"/>
      <c r="E1273" s="26"/>
      <c r="F1273" s="26"/>
      <c r="G1273" s="26"/>
      <c r="H1273" s="5"/>
      <c r="T1273" s="114"/>
      <c r="U1273" s="114"/>
      <c r="V1273" s="114"/>
      <c r="W1273" s="114"/>
    </row>
    <row r="1274" spans="3:23" ht="14.25" customHeight="1">
      <c r="C1274" s="244"/>
      <c r="D1274" s="26"/>
      <c r="E1274" s="26"/>
      <c r="F1274" s="26"/>
      <c r="G1274" s="26"/>
      <c r="H1274" s="5"/>
      <c r="T1274" s="114"/>
      <c r="U1274" s="114"/>
      <c r="V1274" s="114"/>
      <c r="W1274" s="114"/>
    </row>
    <row r="1275" spans="3:23" ht="14.25" customHeight="1">
      <c r="C1275" s="244"/>
      <c r="D1275" s="26"/>
      <c r="E1275" s="26"/>
      <c r="F1275" s="26"/>
      <c r="G1275" s="26"/>
      <c r="H1275" s="5"/>
    </row>
    <row r="1276" spans="3:23" ht="14.25" customHeight="1">
      <c r="C1276" s="244"/>
      <c r="D1276" s="26"/>
      <c r="E1276" s="26"/>
      <c r="F1276" s="26"/>
      <c r="G1276" s="26"/>
      <c r="H1276" s="5"/>
    </row>
    <row r="1277" spans="3:23" ht="14.25" customHeight="1">
      <c r="C1277" s="244"/>
      <c r="D1277" s="26"/>
      <c r="E1277" s="26"/>
      <c r="F1277" s="26"/>
      <c r="G1277" s="26"/>
      <c r="H1277" s="5"/>
    </row>
    <row r="1278" spans="3:23" ht="14.25" customHeight="1">
      <c r="C1278" s="244"/>
      <c r="D1278" s="26"/>
      <c r="E1278" s="26"/>
      <c r="F1278" s="26"/>
      <c r="G1278" s="26"/>
      <c r="H1278" s="5"/>
    </row>
    <row r="1279" spans="3:23" ht="14.25" customHeight="1">
      <c r="C1279" s="244"/>
      <c r="D1279" s="26"/>
      <c r="E1279" s="26"/>
      <c r="F1279" s="26"/>
      <c r="G1279" s="26"/>
      <c r="H1279" s="5"/>
    </row>
    <row r="1280" spans="3:23" ht="14.25" customHeight="1">
      <c r="C1280" s="244"/>
      <c r="D1280" s="26"/>
      <c r="E1280" s="26"/>
      <c r="F1280" s="26"/>
      <c r="G1280" s="26"/>
      <c r="H1280" s="5"/>
    </row>
    <row r="1281" spans="3:8" ht="14.25" customHeight="1">
      <c r="C1281" s="244"/>
      <c r="D1281" s="26"/>
      <c r="E1281" s="26"/>
      <c r="F1281" s="26"/>
      <c r="G1281" s="26"/>
      <c r="H1281" s="5"/>
    </row>
    <row r="1282" spans="3:8" ht="14.25" customHeight="1">
      <c r="C1282" s="244"/>
      <c r="D1282" s="26"/>
      <c r="E1282" s="26"/>
      <c r="F1282" s="26"/>
      <c r="G1282" s="26"/>
      <c r="H1282" s="5"/>
    </row>
    <row r="1283" spans="3:8" ht="14.25" customHeight="1">
      <c r="C1283" s="244"/>
      <c r="D1283" s="26"/>
      <c r="E1283" s="26"/>
      <c r="F1283" s="26"/>
      <c r="G1283" s="26"/>
      <c r="H1283" s="5"/>
    </row>
    <row r="1284" spans="3:8" ht="14.25" customHeight="1">
      <c r="C1284" s="244"/>
      <c r="D1284" s="26"/>
      <c r="E1284" s="26"/>
      <c r="F1284" s="26"/>
      <c r="G1284" s="26"/>
      <c r="H1284" s="5"/>
    </row>
    <row r="1285" spans="3:8" ht="14.25" customHeight="1">
      <c r="C1285" s="244"/>
      <c r="D1285" s="26"/>
      <c r="E1285" s="26"/>
      <c r="F1285" s="26"/>
      <c r="G1285" s="26"/>
      <c r="H1285" s="5"/>
    </row>
    <row r="1286" spans="3:8" ht="14.25" customHeight="1">
      <c r="C1286" s="244"/>
      <c r="D1286" s="26"/>
      <c r="E1286" s="26"/>
      <c r="F1286" s="26"/>
      <c r="G1286" s="26"/>
      <c r="H1286" s="5"/>
    </row>
    <row r="1287" spans="3:8" ht="14.25" customHeight="1">
      <c r="C1287" s="244"/>
      <c r="D1287" s="26"/>
      <c r="E1287" s="26"/>
      <c r="F1287" s="26"/>
      <c r="G1287" s="26"/>
      <c r="H1287" s="5"/>
    </row>
    <row r="1288" spans="3:8" ht="14.25" customHeight="1">
      <c r="C1288" s="244"/>
      <c r="D1288" s="26"/>
      <c r="E1288" s="26"/>
      <c r="F1288" s="26"/>
      <c r="G1288" s="26"/>
      <c r="H1288" s="5"/>
    </row>
    <row r="1289" spans="3:8" ht="14.25" customHeight="1">
      <c r="C1289" s="244"/>
      <c r="D1289" s="26"/>
      <c r="E1289" s="26"/>
      <c r="F1289" s="26"/>
      <c r="G1289" s="26"/>
      <c r="H1289" s="5"/>
    </row>
    <row r="1290" spans="3:8" ht="14.25" customHeight="1">
      <c r="C1290" s="244"/>
      <c r="D1290" s="26"/>
      <c r="E1290" s="26"/>
      <c r="F1290" s="26"/>
      <c r="G1290" s="26"/>
      <c r="H1290" s="5"/>
    </row>
    <row r="1291" spans="3:8" ht="14.25" customHeight="1">
      <c r="C1291" s="244"/>
      <c r="D1291" s="26"/>
      <c r="E1291" s="26"/>
      <c r="F1291" s="26"/>
      <c r="G1291" s="26"/>
      <c r="H1291" s="5"/>
    </row>
    <row r="1292" spans="3:8" ht="14.25" customHeight="1">
      <c r="C1292" s="244"/>
      <c r="D1292" s="26"/>
      <c r="E1292" s="26"/>
      <c r="F1292" s="26"/>
      <c r="G1292" s="26"/>
      <c r="H1292" s="5"/>
    </row>
    <row r="1293" spans="3:8" ht="14.25" customHeight="1">
      <c r="C1293" s="244"/>
      <c r="D1293" s="26"/>
      <c r="E1293" s="26"/>
      <c r="F1293" s="26"/>
      <c r="G1293" s="26"/>
      <c r="H1293" s="5"/>
    </row>
    <row r="1294" spans="3:8" ht="14.25" customHeight="1">
      <c r="C1294" s="244"/>
      <c r="D1294" s="26"/>
      <c r="E1294" s="26"/>
      <c r="F1294" s="26"/>
      <c r="G1294" s="26"/>
      <c r="H1294" s="5"/>
    </row>
    <row r="1295" spans="3:8" ht="14.25" customHeight="1">
      <c r="C1295" s="244"/>
      <c r="D1295" s="26"/>
      <c r="E1295" s="26"/>
      <c r="F1295" s="26"/>
      <c r="G1295" s="26"/>
      <c r="H1295" s="5"/>
    </row>
    <row r="1296" spans="3:8" ht="14.25" customHeight="1">
      <c r="C1296" s="244"/>
      <c r="D1296" s="26"/>
      <c r="E1296" s="26"/>
      <c r="F1296" s="26"/>
      <c r="G1296" s="26"/>
      <c r="H1296" s="5"/>
    </row>
    <row r="1297" spans="3:8" ht="14.25" customHeight="1">
      <c r="C1297" s="244"/>
      <c r="D1297" s="26"/>
      <c r="E1297" s="26"/>
      <c r="F1297" s="26"/>
      <c r="G1297" s="26"/>
      <c r="H1297" s="5"/>
    </row>
    <row r="1298" spans="3:8" ht="14.25" customHeight="1">
      <c r="C1298" s="244"/>
      <c r="D1298" s="26"/>
      <c r="E1298" s="26"/>
      <c r="F1298" s="26"/>
      <c r="G1298" s="26"/>
      <c r="H1298" s="5"/>
    </row>
    <row r="1299" spans="3:8" ht="14.25" customHeight="1">
      <c r="C1299" s="244"/>
      <c r="D1299" s="26"/>
      <c r="E1299" s="26"/>
      <c r="F1299" s="26"/>
      <c r="G1299" s="26"/>
      <c r="H1299" s="5"/>
    </row>
    <row r="1300" spans="3:8" ht="14.25" customHeight="1">
      <c r="C1300" s="244"/>
      <c r="D1300" s="26"/>
      <c r="E1300" s="26"/>
      <c r="F1300" s="26"/>
      <c r="G1300" s="26"/>
      <c r="H1300" s="5"/>
    </row>
    <row r="1301" spans="3:8" ht="14.25" customHeight="1">
      <c r="C1301" s="244"/>
      <c r="D1301" s="26"/>
      <c r="E1301" s="26"/>
      <c r="F1301" s="26"/>
      <c r="G1301" s="26"/>
      <c r="H1301" s="5"/>
    </row>
    <row r="1302" spans="3:8" ht="14.25" customHeight="1">
      <c r="C1302" s="244"/>
      <c r="D1302" s="26"/>
      <c r="E1302" s="26"/>
      <c r="F1302" s="26"/>
      <c r="G1302" s="26"/>
      <c r="H1302" s="5"/>
    </row>
    <row r="1303" spans="3:8" ht="14.25" customHeight="1">
      <c r="C1303" s="244"/>
      <c r="D1303" s="26"/>
      <c r="E1303" s="26"/>
      <c r="F1303" s="26"/>
      <c r="G1303" s="26"/>
      <c r="H1303" s="5"/>
    </row>
    <row r="1304" spans="3:8" ht="14.25" customHeight="1">
      <c r="C1304" s="244"/>
      <c r="D1304" s="26"/>
      <c r="E1304" s="26"/>
      <c r="F1304" s="26"/>
      <c r="G1304" s="26"/>
      <c r="H1304" s="5"/>
    </row>
    <row r="1305" spans="3:8" ht="14.25" customHeight="1">
      <c r="C1305" s="244"/>
      <c r="D1305" s="26"/>
      <c r="E1305" s="26"/>
      <c r="F1305" s="26"/>
      <c r="G1305" s="26"/>
      <c r="H1305" s="5"/>
    </row>
    <row r="1306" spans="3:8" ht="14.25" customHeight="1">
      <c r="C1306" s="244"/>
      <c r="D1306" s="26"/>
      <c r="E1306" s="26"/>
      <c r="F1306" s="26"/>
      <c r="G1306" s="26"/>
      <c r="H1306" s="5"/>
    </row>
    <row r="1307" spans="3:8" ht="14.25" customHeight="1">
      <c r="C1307" s="244"/>
      <c r="D1307" s="26"/>
      <c r="E1307" s="26"/>
      <c r="F1307" s="26"/>
      <c r="G1307" s="26"/>
      <c r="H1307" s="5"/>
    </row>
    <row r="1308" spans="3:8" ht="14.25" customHeight="1">
      <c r="C1308" s="244"/>
      <c r="D1308" s="26"/>
      <c r="E1308" s="26"/>
      <c r="F1308" s="26"/>
      <c r="G1308" s="26"/>
      <c r="H1308" s="5"/>
    </row>
    <row r="1309" spans="3:8" ht="14.25" customHeight="1">
      <c r="C1309" s="244"/>
      <c r="D1309" s="26"/>
      <c r="E1309" s="26"/>
      <c r="F1309" s="26"/>
      <c r="G1309" s="26"/>
      <c r="H1309" s="5"/>
    </row>
    <row r="1310" spans="3:8" ht="14.25" customHeight="1">
      <c r="C1310" s="244"/>
      <c r="D1310" s="26"/>
      <c r="E1310" s="26"/>
      <c r="F1310" s="26"/>
      <c r="G1310" s="26"/>
      <c r="H1310" s="5"/>
    </row>
    <row r="1311" spans="3:8" ht="14.25" customHeight="1">
      <c r="C1311" s="244"/>
      <c r="D1311" s="26"/>
      <c r="E1311" s="26"/>
      <c r="F1311" s="26"/>
      <c r="G1311" s="26"/>
      <c r="H1311" s="5"/>
    </row>
    <row r="1312" spans="3:8" ht="14.25" customHeight="1">
      <c r="C1312" s="244"/>
      <c r="D1312" s="26"/>
      <c r="E1312" s="26"/>
      <c r="F1312" s="26"/>
      <c r="G1312" s="26"/>
      <c r="H1312" s="5"/>
    </row>
    <row r="1313" spans="2:43" ht="14.25" customHeight="1">
      <c r="C1313" s="244"/>
      <c r="D1313" s="26"/>
      <c r="E1313" s="26"/>
      <c r="F1313" s="26"/>
      <c r="G1313" s="26"/>
      <c r="H1313" s="5"/>
    </row>
    <row r="1314" spans="2:43" ht="14.25" customHeight="1">
      <c r="C1314" s="244"/>
      <c r="D1314" s="26"/>
      <c r="E1314" s="26"/>
      <c r="F1314" s="26"/>
      <c r="G1314" s="26"/>
      <c r="H1314" s="5"/>
    </row>
    <row r="1315" spans="2:43" ht="14.25" customHeight="1">
      <c r="C1315" s="244"/>
      <c r="D1315" s="26"/>
      <c r="E1315" s="26"/>
      <c r="F1315" s="26"/>
      <c r="G1315" s="26"/>
      <c r="H1315" s="5"/>
    </row>
    <row r="1316" spans="2:43" ht="14.25" customHeight="1">
      <c r="C1316" s="244"/>
      <c r="D1316" s="26"/>
      <c r="E1316" s="26"/>
      <c r="F1316" s="26"/>
      <c r="G1316" s="26"/>
      <c r="H1316" s="5"/>
    </row>
    <row r="1317" spans="2:43" ht="14.25" customHeight="1">
      <c r="C1317" s="244"/>
      <c r="D1317" s="26"/>
      <c r="E1317" s="26"/>
      <c r="F1317" s="26"/>
      <c r="G1317" s="26"/>
      <c r="H1317" s="5"/>
    </row>
    <row r="1318" spans="2:43" ht="14.25" customHeight="1">
      <c r="C1318" s="244"/>
      <c r="D1318" s="26"/>
      <c r="E1318" s="26"/>
      <c r="F1318" s="26"/>
      <c r="G1318" s="26"/>
      <c r="H1318" s="5"/>
    </row>
    <row r="1319" spans="2:43" ht="14.25" customHeight="1">
      <c r="C1319" s="244"/>
      <c r="D1319" s="26"/>
      <c r="E1319" s="26"/>
      <c r="F1319" s="26"/>
      <c r="G1319" s="26"/>
      <c r="H1319" s="5"/>
    </row>
    <row r="1320" spans="2:43" ht="14.25" customHeight="1">
      <c r="C1320" s="244"/>
      <c r="D1320" s="26"/>
      <c r="E1320" s="26"/>
      <c r="F1320" s="26"/>
      <c r="G1320" s="26"/>
      <c r="H1320" s="5"/>
    </row>
    <row r="1321" spans="2:43" ht="14.25" customHeight="1">
      <c r="C1321" s="244"/>
      <c r="D1321" s="26"/>
      <c r="E1321" s="26"/>
      <c r="F1321" s="26"/>
      <c r="G1321" s="26"/>
      <c r="H1321" s="5"/>
    </row>
    <row r="1322" spans="2:43" ht="14.25" customHeight="1">
      <c r="C1322" s="244"/>
      <c r="D1322" s="26"/>
      <c r="E1322" s="26"/>
      <c r="F1322" s="26"/>
      <c r="G1322" s="26"/>
      <c r="H1322" s="5"/>
    </row>
    <row r="1323" spans="2:43" ht="14.25" customHeight="1">
      <c r="B1323" s="550" t="str">
        <f>TITLE!$C$26</f>
        <v>Полотна збірні: ЛАДА-ЛОФТ</v>
      </c>
      <c r="C1323" s="550"/>
      <c r="D1323" s="117"/>
      <c r="E1323" s="117"/>
      <c r="F1323" s="117"/>
      <c r="G1323" s="117"/>
      <c r="H1323" s="552"/>
      <c r="I1323" s="552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544"/>
      <c r="U1323" s="544"/>
      <c r="V1323" s="544"/>
      <c r="W1323" s="544"/>
      <c r="X1323" s="8"/>
      <c r="Y1323" s="8"/>
      <c r="Z1323" s="8"/>
      <c r="AA1323" s="8"/>
      <c r="AB1323" s="8"/>
      <c r="AC1323" s="8"/>
      <c r="AD1323" s="8"/>
      <c r="AE1323" s="8"/>
      <c r="AF1323" s="8"/>
      <c r="AG1323" s="8"/>
      <c r="AH1323" s="8"/>
      <c r="AI1323" s="8"/>
      <c r="AJ1323" s="8"/>
      <c r="AK1323" s="8"/>
      <c r="AL1323" s="8"/>
    </row>
    <row r="1324" spans="2:43" ht="5.0999999999999996" customHeight="1">
      <c r="B1324" s="116"/>
      <c r="C1324" s="418"/>
      <c r="D1324" s="9"/>
      <c r="E1324" s="9"/>
      <c r="F1324" s="9"/>
      <c r="G1324" s="9"/>
      <c r="H1324" s="119"/>
      <c r="I1324" s="119"/>
      <c r="L1324" s="8"/>
      <c r="M1324" s="8"/>
      <c r="N1324" s="8"/>
      <c r="O1324" s="8"/>
      <c r="P1324" s="8"/>
      <c r="Q1324" s="8"/>
      <c r="R1324" s="8"/>
      <c r="S1324" s="8"/>
      <c r="T1324" s="114"/>
      <c r="U1324" s="114"/>
      <c r="V1324" s="114"/>
      <c r="W1324" s="114"/>
      <c r="X1324" s="8"/>
      <c r="Y1324" s="8"/>
      <c r="Z1324" s="8"/>
      <c r="AA1324" s="8"/>
      <c r="AB1324" s="8"/>
      <c r="AC1324" s="8"/>
      <c r="AD1324" s="8"/>
      <c r="AE1324" s="8"/>
      <c r="AF1324" s="8"/>
      <c r="AG1324" s="8"/>
      <c r="AH1324" s="8"/>
      <c r="AI1324" s="8"/>
      <c r="AJ1324" s="8"/>
      <c r="AK1324" s="8"/>
      <c r="AL1324" s="8"/>
    </row>
    <row r="1325" spans="2:43" ht="12.75" customHeight="1">
      <c r="B1325" s="556" t="str">
        <f>IF($C$1="ENG","model","модель")</f>
        <v>модель</v>
      </c>
      <c r="C1325" s="121" t="str">
        <f>IF($C$1="ENG","cover:","покриття:")</f>
        <v>покриття:</v>
      </c>
      <c r="D1325" s="538" t="str">
        <f>IF($C$1="ENG","Verto-CELL","Verto-CELL")</f>
        <v>Verto-CELL</v>
      </c>
      <c r="E1325" s="539"/>
      <c r="F1325" s="538" t="str">
        <f>IF($C$1="ENG","UNI-MAT","UNI-MAT")</f>
        <v>UNI-MAT</v>
      </c>
      <c r="G1325" s="539"/>
      <c r="H1325" s="538" t="str">
        <f>IF($C$1="ENG","RESIST","RESIST")</f>
        <v>RESIST</v>
      </c>
      <c r="I1325" s="539"/>
      <c r="J1325" s="538" t="str">
        <f>IF($C$1="ENG","Verto LINE-3D","Verto LINE-3D")</f>
        <v>Verto LINE-3D</v>
      </c>
      <c r="K1325" s="539"/>
      <c r="L1325" s="538" t="str">
        <f>IF($C$1="ENG","ECO Shpon","ЕКО Шпон")</f>
        <v>ЕКО Шпон</v>
      </c>
      <c r="M1325" s="539"/>
      <c r="N1325" s="8"/>
      <c r="O1325" s="8"/>
      <c r="P1325" s="20"/>
      <c r="Q1325" s="20"/>
      <c r="R1325" s="8"/>
      <c r="S1325" s="8"/>
      <c r="T1325" s="114"/>
      <c r="U1325" s="114"/>
      <c r="V1325" s="114"/>
      <c r="W1325" s="114"/>
      <c r="X1325" s="8"/>
      <c r="Y1325" s="8"/>
      <c r="Z1325" s="8"/>
      <c r="AA1325" s="8"/>
      <c r="AB1325" s="8"/>
      <c r="AC1325" s="8"/>
      <c r="AD1325" s="8"/>
      <c r="AE1325" s="8"/>
      <c r="AF1325" s="8"/>
      <c r="AG1325" s="8"/>
      <c r="AH1325" s="8"/>
      <c r="AI1325" s="8"/>
      <c r="AJ1325" s="8"/>
      <c r="AK1325" s="8"/>
      <c r="AL1325" s="8"/>
    </row>
    <row r="1326" spans="2:43" ht="24" customHeight="1">
      <c r="B1326" s="557"/>
      <c r="C1326" s="122" t="str">
        <f>IF($C$1="ENG","filling:","заповнення:")</f>
        <v>заповнення:</v>
      </c>
      <c r="D1326" s="540" t="str">
        <f>IF($C$1="ENG","softwood","клеєний сосновий брус")</f>
        <v>клеєний сосновий брус</v>
      </c>
      <c r="E1326" s="541"/>
      <c r="F1326" s="540" t="str">
        <f>IF($C$1="ENG","softwood","клеєний сосновий брус")</f>
        <v>клеєний сосновий брус</v>
      </c>
      <c r="G1326" s="541"/>
      <c r="H1326" s="540" t="str">
        <f>IF($C$1="ENG","softwood","клеєний сосновий брус")</f>
        <v>клеєний сосновий брус</v>
      </c>
      <c r="I1326" s="541"/>
      <c r="J1326" s="540" t="str">
        <f>IF($C$1="ENG","softwood","клеєний сосновий брус")</f>
        <v>клеєний сосновий брус</v>
      </c>
      <c r="K1326" s="541"/>
      <c r="L1326" s="540" t="str">
        <f>IF($C$1="ENG","softwood","клеєний сосновий брус")</f>
        <v>клеєний сосновий брус</v>
      </c>
      <c r="M1326" s="541"/>
      <c r="N1326" s="11"/>
      <c r="O1326" s="11"/>
      <c r="P1326" s="20"/>
      <c r="Q1326" s="20"/>
      <c r="R1326" s="11"/>
      <c r="S1326" s="11"/>
      <c r="T1326" s="11"/>
      <c r="U1326" s="114"/>
      <c r="V1326" s="114"/>
      <c r="W1326" s="114"/>
      <c r="X1326" s="8"/>
      <c r="Y1326" s="8"/>
      <c r="Z1326" s="8"/>
      <c r="AA1326" s="8"/>
      <c r="AB1326" s="8"/>
      <c r="AC1326" s="8"/>
      <c r="AD1326" s="381">
        <f>AD1328/AC1328-1</f>
        <v>0.14006024096385539</v>
      </c>
      <c r="AE1326" s="381">
        <f>AE1328/AD1328-1</f>
        <v>2.9062087186261465E-2</v>
      </c>
      <c r="AF1326" s="381">
        <f>AF1328/AE1328-1</f>
        <v>7.7021822849807409E-2</v>
      </c>
      <c r="AG1326" s="381">
        <f>AG1328/AF1328-1</f>
        <v>4.6483909415971469E-2</v>
      </c>
      <c r="AH1326" s="8"/>
      <c r="AI1326" s="8"/>
      <c r="AJ1326" s="8"/>
      <c r="AK1326" s="8"/>
      <c r="AL1326" s="8"/>
    </row>
    <row r="1327" spans="2:43" ht="12.75" customHeight="1">
      <c r="B1327" s="558"/>
      <c r="C1327" s="123" t="str">
        <f>IF($C$1="ENG","glazing:","скління:")</f>
        <v>скління:</v>
      </c>
      <c r="D1327" s="542" t="str">
        <f>IF($C$1="ENG","Satin","Сатин")</f>
        <v>Сатин</v>
      </c>
      <c r="E1327" s="543"/>
      <c r="F1327" s="542" t="str">
        <f>IF($C$1="ENG","Satin","Сатин")</f>
        <v>Сатин</v>
      </c>
      <c r="G1327" s="543"/>
      <c r="H1327" s="542" t="str">
        <f>IF($C$1="ENG","Satin","Сатин")</f>
        <v>Сатин</v>
      </c>
      <c r="I1327" s="543"/>
      <c r="J1327" s="542" t="str">
        <f>IF($C$1="ENG","Satin","Сатин")</f>
        <v>Сатин</v>
      </c>
      <c r="K1327" s="543"/>
      <c r="L1327" s="542" t="str">
        <f>IF($C$1="ENG","Satin","Сатин")</f>
        <v>Сатин</v>
      </c>
      <c r="M1327" s="543"/>
      <c r="N1327" s="11"/>
      <c r="O1327" s="11"/>
      <c r="P1327" s="20"/>
      <c r="Q1327" s="20"/>
      <c r="R1327" s="11"/>
      <c r="S1327" s="11"/>
      <c r="T1327" s="11"/>
    </row>
    <row r="1328" spans="2:43" ht="34.5" customHeight="1">
      <c r="B1328" s="13" t="s">
        <v>16</v>
      </c>
      <c r="C1328" s="14"/>
      <c r="D1328" s="15">
        <f>IF(AC1328="","",(1-$W$2)*(AC1328/1.2))</f>
        <v>5533.3333333333339</v>
      </c>
      <c r="E1328" s="64">
        <f>IF($W$5=0.2,D1328*1.2,D1328)/$W$4</f>
        <v>6640.0000000000009</v>
      </c>
      <c r="F1328" s="15">
        <f>IF(AD1328="","",(1-$W$2)*(AD1328/1.2))</f>
        <v>6308.3333333333339</v>
      </c>
      <c r="G1328" s="64">
        <f>IF($W$5=0.2,F1328*1.2,F1328)/$W$4</f>
        <v>7570</v>
      </c>
      <c r="H1328" s="15">
        <f>IF(AE1328="","",(1-$W$2)*(AE1328/1.2))</f>
        <v>6491.666666666667</v>
      </c>
      <c r="I1328" s="64">
        <f>IF($W$5=0.2,H1328*1.2,H1328)/$W$4</f>
        <v>7790</v>
      </c>
      <c r="J1328" s="15">
        <f>IF(AF1328="","",(1-$W$2)*(AF1328/1.2))</f>
        <v>6991.666666666667</v>
      </c>
      <c r="K1328" s="64">
        <f>IF($W$5=0.2,J1328*1.2,J1328)/$W$4</f>
        <v>8390</v>
      </c>
      <c r="L1328" s="15">
        <f>IF(AG1328="","",(1-$W$2)*(AG1328/1.2))</f>
        <v>7316.666666666667</v>
      </c>
      <c r="M1328" s="64">
        <f>IF($W$5=0.2,L1328*1.2,L1328)/$W$4</f>
        <v>8780</v>
      </c>
      <c r="N1328" s="103"/>
      <c r="O1328" s="20"/>
      <c r="P1328" s="20"/>
      <c r="Q1328" s="20"/>
      <c r="R1328" s="103"/>
      <c r="S1328" s="20"/>
      <c r="T1328" s="103"/>
      <c r="U1328" s="20"/>
      <c r="V1328" s="103"/>
      <c r="W1328" s="20"/>
      <c r="X1328" s="22"/>
      <c r="Y1328" s="22"/>
      <c r="Z1328" s="22"/>
      <c r="AA1328" s="22"/>
      <c r="AB1328" s="22"/>
      <c r="AC1328" s="331">
        <v>6640</v>
      </c>
      <c r="AD1328" s="389">
        <v>7570</v>
      </c>
      <c r="AE1328" s="331">
        <v>7790</v>
      </c>
      <c r="AF1328" s="331">
        <v>8390</v>
      </c>
      <c r="AG1328" s="331">
        <v>8780</v>
      </c>
      <c r="AH1328" s="288">
        <v>6640</v>
      </c>
      <c r="AI1328" s="288">
        <f>AH1328/AC1328-1</f>
        <v>0</v>
      </c>
      <c r="AJ1328" s="288">
        <v>7570</v>
      </c>
      <c r="AK1328" s="288">
        <f>AJ1328/AD1328-1</f>
        <v>0</v>
      </c>
      <c r="AL1328" s="288">
        <v>7790</v>
      </c>
      <c r="AM1328" s="288">
        <f>AL1328/AE1328-1</f>
        <v>0</v>
      </c>
      <c r="AN1328" s="288">
        <v>8390</v>
      </c>
      <c r="AO1328" s="288">
        <f>AN1328/AF1328-1</f>
        <v>0</v>
      </c>
      <c r="AP1328" s="288">
        <v>8780</v>
      </c>
      <c r="AQ1328" s="288">
        <f>AP1328/AG1328-1</f>
        <v>0</v>
      </c>
    </row>
    <row r="1329" spans="2:43" ht="34.5" customHeight="1">
      <c r="B1329" s="16" t="s">
        <v>14</v>
      </c>
      <c r="C1329" s="17"/>
      <c r="D1329" s="18">
        <f>IF(AC1329="","",(1-$W$2)*(AC1329/1.2))</f>
        <v>5791.666666666667</v>
      </c>
      <c r="E1329" s="66">
        <f>IF($W$5=0.2,D1329*1.2,D1329)/$W$4</f>
        <v>6950</v>
      </c>
      <c r="F1329" s="18">
        <f>IF(AD1329="","",(1-$W$2)*(AD1329/1.2))</f>
        <v>6608.3333333333339</v>
      </c>
      <c r="G1329" s="66">
        <f>IF($W$5=0.2,F1329*1.2,F1329)/$W$4</f>
        <v>7930</v>
      </c>
      <c r="H1329" s="18">
        <f>IF(AE1329="","",(1-$W$2)*(AE1329/1.2))</f>
        <v>6791.666666666667</v>
      </c>
      <c r="I1329" s="66">
        <f>IF($W$5=0.2,H1329*1.2,H1329)/$W$4</f>
        <v>8150</v>
      </c>
      <c r="J1329" s="18">
        <f>IF(AF1329="","",(1-$W$2)*(AF1329/1.2))</f>
        <v>7291.666666666667</v>
      </c>
      <c r="K1329" s="66">
        <f>IF($W$5=0.2,J1329*1.2,J1329)/$W$4</f>
        <v>8750</v>
      </c>
      <c r="L1329" s="18">
        <f>IF(AG1329="","",(1-$W$2)*(AG1329/1.2))</f>
        <v>7608.3333333333339</v>
      </c>
      <c r="M1329" s="66">
        <f>IF($W$5=0.2,L1329*1.2,L1329)/$W$4</f>
        <v>9130</v>
      </c>
      <c r="N1329" s="103"/>
      <c r="O1329" s="20"/>
      <c r="P1329" s="20"/>
      <c r="Q1329" s="20"/>
      <c r="R1329" s="103"/>
      <c r="S1329" s="20"/>
      <c r="T1329" s="103"/>
      <c r="U1329" s="20"/>
      <c r="V1329" s="103"/>
      <c r="W1329" s="20"/>
      <c r="X1329" s="22"/>
      <c r="Y1329" s="22"/>
      <c r="Z1329" s="22"/>
      <c r="AA1329" s="22"/>
      <c r="AB1329" s="22"/>
      <c r="AC1329" s="331">
        <v>6950</v>
      </c>
      <c r="AD1329" s="389">
        <v>7930</v>
      </c>
      <c r="AE1329" s="331">
        <v>8150</v>
      </c>
      <c r="AF1329" s="331">
        <v>8750</v>
      </c>
      <c r="AG1329" s="331">
        <v>9130</v>
      </c>
      <c r="AH1329" s="288">
        <v>6950</v>
      </c>
      <c r="AI1329" s="288">
        <f t="shared" ref="AI1329:AI1332" si="193">AH1329/AC1329-1</f>
        <v>0</v>
      </c>
      <c r="AJ1329" s="288">
        <v>7930</v>
      </c>
      <c r="AK1329" s="288">
        <f t="shared" ref="AK1329:AK1332" si="194">AJ1329/AD1329-1</f>
        <v>0</v>
      </c>
      <c r="AL1329" s="288">
        <v>8150</v>
      </c>
      <c r="AM1329" s="288">
        <f t="shared" ref="AM1329:AM1332" si="195">AL1329/AE1329-1</f>
        <v>0</v>
      </c>
      <c r="AN1329" s="288">
        <v>8750</v>
      </c>
      <c r="AO1329" s="288">
        <f t="shared" ref="AO1329:AO1332" si="196">AN1329/AF1329-1</f>
        <v>0</v>
      </c>
      <c r="AP1329" s="288">
        <v>9130</v>
      </c>
      <c r="AQ1329" s="288">
        <f t="shared" ref="AQ1329:AQ1332" si="197">AP1329/AG1329-1</f>
        <v>0</v>
      </c>
    </row>
    <row r="1330" spans="2:43" ht="34.5" customHeight="1">
      <c r="B1330" s="16" t="s">
        <v>17</v>
      </c>
      <c r="C1330" s="17"/>
      <c r="D1330" s="18">
        <f>IF(AC1330="","",(1-$W$2)*(AC1330/1.2))</f>
        <v>5533.3333333333339</v>
      </c>
      <c r="E1330" s="66">
        <f>IF($W$5=0.2,D1330*1.2,D1330)/$W$4</f>
        <v>6640.0000000000009</v>
      </c>
      <c r="F1330" s="18">
        <f>IF(AD1330="","",(1-$W$2)*(AD1330/1.2))</f>
        <v>6308.3333333333339</v>
      </c>
      <c r="G1330" s="66">
        <f>IF($W$5=0.2,F1330*1.2,F1330)/$W$4</f>
        <v>7570</v>
      </c>
      <c r="H1330" s="18">
        <f>IF(AE1330="","",(1-$W$2)*(AE1330/1.2))</f>
        <v>6491.666666666667</v>
      </c>
      <c r="I1330" s="66">
        <f>IF($W$5=0.2,H1330*1.2,H1330)/$W$4</f>
        <v>7790</v>
      </c>
      <c r="J1330" s="18">
        <f>IF(AF1330="","",(1-$W$2)*(AF1330/1.2))</f>
        <v>6991.666666666667</v>
      </c>
      <c r="K1330" s="66">
        <f>IF($W$5=0.2,J1330*1.2,J1330)/$W$4</f>
        <v>8390</v>
      </c>
      <c r="L1330" s="18">
        <f>IF(AG1330="","",(1-$W$2)*(AG1330/1.2))</f>
        <v>7316.666666666667</v>
      </c>
      <c r="M1330" s="66">
        <f>IF($W$5=0.2,L1330*1.2,L1330)/$W$4</f>
        <v>8780</v>
      </c>
      <c r="N1330" s="103"/>
      <c r="O1330" s="20"/>
      <c r="P1330" s="20"/>
      <c r="Q1330" s="20"/>
      <c r="R1330" s="103"/>
      <c r="S1330" s="20"/>
      <c r="T1330" s="103"/>
      <c r="U1330" s="20"/>
      <c r="V1330" s="103"/>
      <c r="W1330" s="20"/>
      <c r="X1330" s="22"/>
      <c r="Y1330" s="22"/>
      <c r="Z1330" s="22"/>
      <c r="AA1330" s="22"/>
      <c r="AB1330" s="22"/>
      <c r="AC1330" s="331">
        <v>6640</v>
      </c>
      <c r="AD1330" s="389">
        <v>7570</v>
      </c>
      <c r="AE1330" s="331">
        <v>7790</v>
      </c>
      <c r="AF1330" s="331">
        <v>8390</v>
      </c>
      <c r="AG1330" s="331">
        <v>8780</v>
      </c>
      <c r="AH1330" s="288">
        <v>6640</v>
      </c>
      <c r="AI1330" s="288">
        <f t="shared" si="193"/>
        <v>0</v>
      </c>
      <c r="AJ1330" s="288">
        <v>7570</v>
      </c>
      <c r="AK1330" s="288">
        <f t="shared" si="194"/>
        <v>0</v>
      </c>
      <c r="AL1330" s="288">
        <v>7790</v>
      </c>
      <c r="AM1330" s="288">
        <f t="shared" si="195"/>
        <v>0</v>
      </c>
      <c r="AN1330" s="288">
        <v>8390</v>
      </c>
      <c r="AO1330" s="288">
        <f t="shared" si="196"/>
        <v>0</v>
      </c>
      <c r="AP1330" s="288">
        <v>8780</v>
      </c>
      <c r="AQ1330" s="288">
        <f t="shared" si="197"/>
        <v>0</v>
      </c>
    </row>
    <row r="1331" spans="2:43" ht="34.5" customHeight="1">
      <c r="B1331" s="16" t="s">
        <v>18</v>
      </c>
      <c r="C1331" s="17"/>
      <c r="D1331" s="18">
        <f>IF(AC1331="","",(1-$W$2)*(AC1331/1.2))</f>
        <v>5550</v>
      </c>
      <c r="E1331" s="66">
        <f>IF($W$5=0.2,D1331*1.2,D1331)/$W$4</f>
        <v>6660</v>
      </c>
      <c r="F1331" s="18">
        <f>IF(AD1331="","",(1-$W$2)*(AD1331/1.2))</f>
        <v>6325</v>
      </c>
      <c r="G1331" s="66">
        <f>IF($W$5=0.2,F1331*1.2,F1331)/$W$4</f>
        <v>7590</v>
      </c>
      <c r="H1331" s="18">
        <f>IF(AE1331="","",(1-$W$2)*(AE1331/1.2))</f>
        <v>6575</v>
      </c>
      <c r="I1331" s="66">
        <f>IF($W$5=0.2,H1331*1.2,H1331)/$W$4</f>
        <v>7890</v>
      </c>
      <c r="J1331" s="18">
        <f>IF(AF1331="","",(1-$W$2)*(AF1331/1.2))</f>
        <v>7050</v>
      </c>
      <c r="K1331" s="66">
        <f>IF($W$5=0.2,J1331*1.2,J1331)/$W$4</f>
        <v>8460</v>
      </c>
      <c r="L1331" s="18">
        <f>IF(AG1331="","",(1-$W$2)*(AG1331/1.2))</f>
        <v>7375</v>
      </c>
      <c r="M1331" s="66">
        <f>IF($W$5=0.2,L1331*1.2,L1331)/$W$4</f>
        <v>8850</v>
      </c>
      <c r="N1331" s="103"/>
      <c r="O1331" s="20"/>
      <c r="P1331" s="20"/>
      <c r="Q1331" s="20"/>
      <c r="R1331" s="103"/>
      <c r="S1331" s="20"/>
      <c r="T1331" s="103"/>
      <c r="U1331" s="20"/>
      <c r="V1331" s="103"/>
      <c r="W1331" s="20"/>
      <c r="X1331" s="22"/>
      <c r="Y1331" s="22"/>
      <c r="Z1331" s="22"/>
      <c r="AA1331" s="22"/>
      <c r="AB1331" s="22"/>
      <c r="AC1331" s="331">
        <v>6660</v>
      </c>
      <c r="AD1331" s="389">
        <v>7590</v>
      </c>
      <c r="AE1331" s="331">
        <v>7890</v>
      </c>
      <c r="AF1331" s="331">
        <v>8460</v>
      </c>
      <c r="AG1331" s="331">
        <v>8850</v>
      </c>
      <c r="AH1331" s="288">
        <v>6660</v>
      </c>
      <c r="AI1331" s="288">
        <f t="shared" si="193"/>
        <v>0</v>
      </c>
      <c r="AJ1331" s="288">
        <v>7590</v>
      </c>
      <c r="AK1331" s="288">
        <f t="shared" si="194"/>
        <v>0</v>
      </c>
      <c r="AL1331" s="288">
        <v>7890</v>
      </c>
      <c r="AM1331" s="288">
        <f t="shared" si="195"/>
        <v>0</v>
      </c>
      <c r="AN1331" s="288">
        <v>8460</v>
      </c>
      <c r="AO1331" s="288">
        <f t="shared" si="196"/>
        <v>0</v>
      </c>
      <c r="AP1331" s="288">
        <v>8850</v>
      </c>
      <c r="AQ1331" s="288">
        <f t="shared" si="197"/>
        <v>0</v>
      </c>
    </row>
    <row r="1332" spans="2:43" ht="34.5" customHeight="1">
      <c r="B1332" s="23" t="s">
        <v>29</v>
      </c>
      <c r="C1332" s="24"/>
      <c r="D1332" s="25">
        <f>IF(AC1332="","",(1-$W$2)*(AC1332/1.2))</f>
        <v>5650</v>
      </c>
      <c r="E1332" s="69">
        <f>IF($W$5=0.2,D1332*1.2,D1332)/$W$4</f>
        <v>6780</v>
      </c>
      <c r="F1332" s="25">
        <f>IF(AD1332="","",(1-$W$2)*(AD1332/1.2))</f>
        <v>6433.3333333333339</v>
      </c>
      <c r="G1332" s="69">
        <f>IF($W$5=0.2,F1332*1.2,F1332)/$W$4</f>
        <v>7720</v>
      </c>
      <c r="H1332" s="25">
        <f>IF(AE1332="","",(1-$W$2)*(AE1332/1.2))</f>
        <v>6600</v>
      </c>
      <c r="I1332" s="69">
        <f>IF($W$5=0.2,H1332*1.2,H1332)/$W$4</f>
        <v>7920</v>
      </c>
      <c r="J1332" s="25">
        <f>IF(AF1332="","",(1-$W$2)*(AF1332/1.2))</f>
        <v>7116.666666666667</v>
      </c>
      <c r="K1332" s="69">
        <f>IF($W$5=0.2,J1332*1.2,J1332)/$W$4</f>
        <v>8540</v>
      </c>
      <c r="L1332" s="25">
        <f>IF(AG1332="","",(1-$W$2)*(AG1332/1.2))</f>
        <v>7441.666666666667</v>
      </c>
      <c r="M1332" s="69">
        <f>IF($W$5=0.2,L1332*1.2,L1332)/$W$4</f>
        <v>8930</v>
      </c>
      <c r="N1332" s="103"/>
      <c r="O1332" s="20"/>
      <c r="P1332" s="20"/>
      <c r="Q1332" s="20"/>
      <c r="R1332" s="103"/>
      <c r="S1332" s="20"/>
      <c r="T1332" s="103"/>
      <c r="U1332" s="20"/>
      <c r="V1332" s="103"/>
      <c r="W1332" s="20"/>
      <c r="X1332" s="22"/>
      <c r="Y1332" s="22"/>
      <c r="Z1332" s="22"/>
      <c r="AA1332" s="22"/>
      <c r="AB1332" s="22"/>
      <c r="AC1332" s="331">
        <v>6780</v>
      </c>
      <c r="AD1332" s="389">
        <v>7720</v>
      </c>
      <c r="AE1332" s="331">
        <v>7920</v>
      </c>
      <c r="AF1332" s="331">
        <v>8540</v>
      </c>
      <c r="AG1332" s="331">
        <v>8930</v>
      </c>
      <c r="AH1332" s="288">
        <v>6780</v>
      </c>
      <c r="AI1332" s="288">
        <f t="shared" si="193"/>
        <v>0</v>
      </c>
      <c r="AJ1332" s="288">
        <v>7720</v>
      </c>
      <c r="AK1332" s="288">
        <f t="shared" si="194"/>
        <v>0</v>
      </c>
      <c r="AL1332" s="288">
        <v>7920</v>
      </c>
      <c r="AM1332" s="288">
        <f t="shared" si="195"/>
        <v>0</v>
      </c>
      <c r="AN1332" s="288">
        <v>8540</v>
      </c>
      <c r="AO1332" s="288">
        <f t="shared" si="196"/>
        <v>0</v>
      </c>
      <c r="AP1332" s="288">
        <v>8930</v>
      </c>
      <c r="AQ1332" s="288">
        <f t="shared" si="197"/>
        <v>0</v>
      </c>
    </row>
    <row r="1333" spans="2:43" ht="14.25" customHeight="1">
      <c r="C1333" s="244"/>
      <c r="D1333" s="26"/>
      <c r="E1333" s="57"/>
      <c r="F1333" s="26"/>
      <c r="G1333" s="57"/>
      <c r="H1333" s="5"/>
      <c r="P1333" s="20"/>
      <c r="Q1333" s="20"/>
    </row>
    <row r="1334" spans="2:43" ht="12.75" customHeight="1">
      <c r="B1334" s="211" t="str">
        <f>IF($C$1="ENG","For additonal charge:","Послуги за додаткову плату:")</f>
        <v>Послуги за додаткову плату:</v>
      </c>
      <c r="C1334" s="419"/>
      <c r="D1334" s="212"/>
      <c r="E1334" s="213"/>
      <c r="F1334" s="26"/>
      <c r="G1334" s="57"/>
      <c r="H1334" s="10"/>
      <c r="I1334" s="8"/>
      <c r="J1334" s="8"/>
      <c r="K1334" s="8"/>
      <c r="P1334" s="20"/>
      <c r="Q1334" s="20"/>
    </row>
    <row r="1335" spans="2:43" ht="4.5" customHeight="1">
      <c r="B1335" s="27"/>
      <c r="C1335" s="244"/>
      <c r="D1335" s="26"/>
      <c r="E1335" s="57"/>
      <c r="F1335" s="26"/>
      <c r="G1335" s="26"/>
      <c r="H1335" s="10"/>
      <c r="I1335" s="8"/>
      <c r="J1335" s="8"/>
      <c r="K1335" s="8"/>
    </row>
    <row r="1336" spans="2:43" ht="12.75" customHeight="1">
      <c r="B1336" s="561" t="str">
        <f>IF($C$1="ENG","door leaf with width 100","полотно розміром 100")</f>
        <v>полотно розміром 100</v>
      </c>
      <c r="C1336" s="562"/>
      <c r="D1336" s="408">
        <f t="shared" ref="D1336:D1349" si="198">IF(AC1336="","",(1-$W$2)*(AC1336/1.2))</f>
        <v>600</v>
      </c>
      <c r="E1336" s="91">
        <f t="shared" ref="E1336:E1348" si="199">IF($W$5=0.2,D1336*1.2,D1336)/$W$4</f>
        <v>720</v>
      </c>
      <c r="F1336" s="26"/>
      <c r="G1336" s="26"/>
      <c r="H1336" s="10"/>
      <c r="I1336" s="8"/>
      <c r="J1336" s="8"/>
      <c r="K1336" s="8"/>
      <c r="AC1336" s="288">
        <v>720</v>
      </c>
      <c r="AD1336" s="288">
        <v>720</v>
      </c>
      <c r="AE1336" s="288"/>
      <c r="AF1336" s="288"/>
      <c r="AG1336" s="288"/>
      <c r="AH1336" s="288"/>
      <c r="AI1336" s="288"/>
      <c r="AJ1336" s="288"/>
      <c r="AK1336" s="288"/>
      <c r="AL1336" s="288"/>
    </row>
    <row r="1337" spans="2:43" ht="12.75" customHeight="1">
      <c r="B1337" s="554" t="str">
        <f>IF($C$1="ENG","Ventilation sleeves (1 row)","вентиляційні віддушини (1ряд)")</f>
        <v>вентиляційні віддушини (1ряд)</v>
      </c>
      <c r="C1337" s="555"/>
      <c r="D1337" s="403">
        <f t="shared" si="198"/>
        <v>208.33333333333334</v>
      </c>
      <c r="E1337" s="92">
        <f t="shared" si="199"/>
        <v>250</v>
      </c>
      <c r="F1337" s="26"/>
      <c r="G1337" s="26"/>
      <c r="I1337" s="11"/>
      <c r="J1337" s="11"/>
      <c r="K1337" s="11"/>
      <c r="AC1337" s="288">
        <v>250</v>
      </c>
      <c r="AD1337" s="288">
        <v>250</v>
      </c>
      <c r="AE1337" s="288"/>
      <c r="AF1337" s="288"/>
      <c r="AG1337" s="288"/>
      <c r="AH1337" s="288"/>
      <c r="AI1337" s="288"/>
      <c r="AJ1337" s="288"/>
      <c r="AK1337" s="288"/>
      <c r="AL1337" s="288"/>
    </row>
    <row r="1338" spans="2:43" ht="12.75" customHeight="1">
      <c r="B1338" s="561" t="str">
        <f>IF($C$1="ENG","Ventilation cut","вентиляційний підріз")</f>
        <v>вентиляційний підріз</v>
      </c>
      <c r="C1338" s="562"/>
      <c r="D1338" s="403">
        <f t="shared" si="198"/>
        <v>141.66666666666669</v>
      </c>
      <c r="E1338" s="66">
        <f t="shared" si="199"/>
        <v>170.00000000000003</v>
      </c>
      <c r="F1338" s="26"/>
      <c r="G1338" s="26"/>
      <c r="I1338" s="59"/>
      <c r="J1338" s="28"/>
      <c r="AC1338" s="288">
        <v>170</v>
      </c>
      <c r="AD1338" s="288">
        <v>170</v>
      </c>
      <c r="AE1338" s="288"/>
      <c r="AF1338" s="288"/>
      <c r="AG1338" s="288"/>
      <c r="AH1338" s="288"/>
      <c r="AI1338" s="288"/>
      <c r="AJ1338" s="288"/>
      <c r="AK1338" s="288"/>
      <c r="AL1338" s="288"/>
    </row>
    <row r="1339" spans="2:43" ht="12.75" customHeight="1">
      <c r="B1339" s="554" t="str">
        <f>IF($C$1="ENG","glazing Graphite / Bronze","скло Графіт / Бронза")</f>
        <v>скло Графіт / Бронза</v>
      </c>
      <c r="C1339" s="555"/>
      <c r="D1339" s="405">
        <f t="shared" si="198"/>
        <v>458.33333333333337</v>
      </c>
      <c r="E1339" s="92">
        <f t="shared" si="199"/>
        <v>550</v>
      </c>
      <c r="F1339" s="26"/>
      <c r="G1339" s="26"/>
      <c r="H1339" s="5"/>
      <c r="AC1339" s="288">
        <v>550</v>
      </c>
      <c r="AD1339" s="288">
        <v>550</v>
      </c>
      <c r="AE1339" s="288"/>
      <c r="AF1339" s="288"/>
      <c r="AG1339" s="288"/>
      <c r="AH1339" s="288"/>
      <c r="AI1339" s="288"/>
      <c r="AJ1339" s="288"/>
      <c r="AK1339" s="288"/>
      <c r="AL1339" s="288"/>
    </row>
    <row r="1340" spans="2:43">
      <c r="B1340" s="554" t="str">
        <f>IF($C$1="ENG","glazing Lacobel black ","скло Lacobel чорне")</f>
        <v>скло Lacobel чорне</v>
      </c>
      <c r="C1340" s="555"/>
      <c r="D1340" s="405">
        <f t="shared" si="198"/>
        <v>458.33333333333337</v>
      </c>
      <c r="E1340" s="92">
        <f>IF($W$5=0.2,D1340*1.2,D1340)/$W$4</f>
        <v>550</v>
      </c>
      <c r="F1340" s="26"/>
      <c r="G1340" s="26"/>
      <c r="H1340" s="5"/>
      <c r="AC1340" s="297">
        <v>550</v>
      </c>
      <c r="AD1340" s="297">
        <v>550</v>
      </c>
      <c r="AE1340" s="288"/>
      <c r="AF1340" s="288"/>
      <c r="AG1340" s="288"/>
      <c r="AH1340" s="288"/>
      <c r="AI1340" s="288"/>
      <c r="AJ1340" s="288"/>
      <c r="AK1340" s="288"/>
      <c r="AL1340" s="288"/>
    </row>
    <row r="1341" spans="2:43" ht="12.75" customHeight="1">
      <c r="B1341" s="554" t="str">
        <f>IF($C$1="ENG","door lock Soft","замок Soft")</f>
        <v>замок Soft</v>
      </c>
      <c r="C1341" s="555"/>
      <c r="D1341" s="405">
        <f t="shared" si="198"/>
        <v>458.33333333333337</v>
      </c>
      <c r="E1341" s="92">
        <f t="shared" si="199"/>
        <v>550</v>
      </c>
      <c r="F1341" s="26"/>
      <c r="G1341" s="26"/>
      <c r="H1341" s="5"/>
      <c r="AC1341" s="288">
        <v>550</v>
      </c>
      <c r="AD1341" s="288">
        <v>550</v>
      </c>
      <c r="AE1341" s="288"/>
      <c r="AF1341" s="288"/>
      <c r="AG1341" s="288"/>
      <c r="AH1341" s="288"/>
      <c r="AI1341" s="288"/>
      <c r="AJ1341" s="288"/>
      <c r="AK1341" s="288"/>
      <c r="AL1341" s="288"/>
    </row>
    <row r="1342" spans="2:43" ht="12.75" customHeight="1">
      <c r="B1342" s="554" t="str">
        <f>IF($C$1="ENG","door lock Soft black","замок Soft чорн.")</f>
        <v>замок Soft чорн.</v>
      </c>
      <c r="C1342" s="555"/>
      <c r="D1342" s="405">
        <f t="shared" ref="D1342" si="200">IF(AC1342="","",(1-$W$2)*(AC1342/1.2))</f>
        <v>566.66666666666674</v>
      </c>
      <c r="E1342" s="92">
        <f t="shared" ref="E1342" si="201">IF($W$5=0.2,D1342*1.2,D1342)/$W$4</f>
        <v>680.00000000000011</v>
      </c>
      <c r="F1342" s="26"/>
      <c r="G1342" s="26"/>
      <c r="H1342" s="5"/>
      <c r="AC1342" s="288">
        <v>680</v>
      </c>
      <c r="AD1342" s="288"/>
      <c r="AE1342" s="288"/>
      <c r="AF1342" s="288"/>
      <c r="AG1342" s="288"/>
      <c r="AH1342" s="288"/>
      <c r="AI1342" s="288"/>
      <c r="AJ1342" s="288"/>
      <c r="AK1342" s="288"/>
      <c r="AL1342" s="288"/>
    </row>
    <row r="1343" spans="2:43" ht="12.75" customHeight="1">
      <c r="B1343" s="554" t="str">
        <f>IF($C$1="ENG","door lock Magnet","замок Magnet")</f>
        <v>замок Magnet</v>
      </c>
      <c r="C1343" s="555"/>
      <c r="D1343" s="405">
        <f t="shared" si="198"/>
        <v>666.66666666666674</v>
      </c>
      <c r="E1343" s="92">
        <f t="shared" si="199"/>
        <v>800.00000000000011</v>
      </c>
      <c r="F1343" s="26"/>
      <c r="G1343" s="26"/>
      <c r="H1343" s="5"/>
      <c r="AC1343" s="288">
        <v>800</v>
      </c>
      <c r="AD1343" s="288">
        <v>800</v>
      </c>
      <c r="AE1343" s="288"/>
      <c r="AF1343" s="288"/>
      <c r="AG1343" s="288"/>
      <c r="AH1343" s="288"/>
      <c r="AI1343" s="288"/>
      <c r="AJ1343" s="288"/>
      <c r="AK1343" s="288"/>
      <c r="AL1343" s="288"/>
    </row>
    <row r="1344" spans="2:43" ht="12.75" customHeight="1">
      <c r="B1344" s="554" t="s">
        <v>66</v>
      </c>
      <c r="C1344" s="555"/>
      <c r="D1344" s="405">
        <f t="shared" ref="D1344" si="202">IF(AC1344="","",(1-$W$2)*(AC1344/1.2))</f>
        <v>833.33333333333337</v>
      </c>
      <c r="E1344" s="92">
        <f t="shared" ref="E1344" si="203">IF($W$5=0.2,D1344*1.2,D1344)/$W$4</f>
        <v>1000</v>
      </c>
      <c r="F1344" s="26"/>
      <c r="G1344" s="26"/>
      <c r="H1344" s="5"/>
      <c r="AC1344" s="288">
        <v>1000</v>
      </c>
      <c r="AD1344" s="288"/>
      <c r="AE1344" s="288"/>
      <c r="AF1344" s="288"/>
      <c r="AG1344" s="288"/>
      <c r="AH1344" s="288"/>
      <c r="AI1344" s="288"/>
      <c r="AJ1344" s="288"/>
      <c r="AK1344" s="288"/>
      <c r="AL1344" s="288"/>
    </row>
    <row r="1345" spans="2:38" ht="12.75" customHeight="1">
      <c r="B1345" s="554" t="str">
        <f>IF($C$1="ENG","door handle-lock (for sliding doors)","ручка-замок (для дверей купе)")</f>
        <v>ручка-замок (для дверей купе)</v>
      </c>
      <c r="C1345" s="555"/>
      <c r="D1345" s="403">
        <f t="shared" si="198"/>
        <v>466.66666666666669</v>
      </c>
      <c r="E1345" s="92">
        <f t="shared" si="199"/>
        <v>560</v>
      </c>
      <c r="F1345" s="26"/>
      <c r="G1345" s="26"/>
      <c r="I1345" s="11"/>
      <c r="J1345" s="11"/>
      <c r="K1345" s="19"/>
      <c r="AC1345" s="288">
        <v>560</v>
      </c>
      <c r="AD1345" s="288">
        <v>560</v>
      </c>
      <c r="AE1345" s="288"/>
      <c r="AF1345" s="288"/>
      <c r="AG1345" s="288"/>
      <c r="AH1345" s="288"/>
      <c r="AI1345" s="288"/>
      <c r="AJ1345" s="288"/>
      <c r="AK1345" s="288"/>
      <c r="AL1345" s="288"/>
    </row>
    <row r="1346" spans="2:38" ht="12.75" customHeight="1">
      <c r="B1346" s="554" t="str">
        <f>IF($C$1="ENG","cylinder incert","циліндр несиметричний")</f>
        <v>циліндр несиметричний</v>
      </c>
      <c r="C1346" s="555"/>
      <c r="D1346" s="403">
        <f t="shared" si="198"/>
        <v>316.66666666666669</v>
      </c>
      <c r="E1346" s="92">
        <f t="shared" si="199"/>
        <v>380</v>
      </c>
      <c r="F1346" s="26"/>
      <c r="G1346" s="26"/>
      <c r="AC1346" s="288">
        <v>380</v>
      </c>
      <c r="AD1346" s="288">
        <v>380</v>
      </c>
      <c r="AE1346" s="288"/>
      <c r="AF1346" s="288"/>
      <c r="AG1346" s="288"/>
      <c r="AH1346" s="288"/>
      <c r="AI1346" s="288"/>
      <c r="AJ1346" s="288"/>
      <c r="AK1346" s="288"/>
      <c r="AL1346" s="288"/>
    </row>
    <row r="1347" spans="2:38" ht="12.75" customHeight="1">
      <c r="B1347" s="554" t="str">
        <f>IF($C$1="ENG","door hindge Prestige (1 unit)","завіса Prestige (1 шт)")</f>
        <v>завіса Prestige (1 шт)</v>
      </c>
      <c r="C1347" s="555"/>
      <c r="D1347" s="406">
        <f t="shared" si="198"/>
        <v>216.66666666666669</v>
      </c>
      <c r="E1347" s="92">
        <f t="shared" si="199"/>
        <v>260</v>
      </c>
      <c r="F1347" s="26"/>
      <c r="G1347" s="26"/>
      <c r="AC1347" s="288">
        <v>260</v>
      </c>
      <c r="AD1347" s="288">
        <v>260</v>
      </c>
      <c r="AE1347" s="288"/>
      <c r="AF1347" s="288"/>
      <c r="AG1347" s="288"/>
      <c r="AH1347" s="288"/>
      <c r="AI1347" s="288"/>
      <c r="AJ1347" s="288"/>
      <c r="AK1347" s="288"/>
      <c r="AL1347" s="288"/>
    </row>
    <row r="1348" spans="2:38" ht="12.75" customHeight="1">
      <c r="B1348" s="554" t="str">
        <f>IF($C$1="ENG","door hinge caps (1 set)","накладка на завіси (1 к-т)")</f>
        <v>накладка на завіси (1 к-т)</v>
      </c>
      <c r="C1348" s="555"/>
      <c r="D1348" s="406">
        <f t="shared" si="198"/>
        <v>66.666666666666671</v>
      </c>
      <c r="E1348" s="92">
        <f t="shared" si="199"/>
        <v>80</v>
      </c>
      <c r="F1348" s="26"/>
      <c r="G1348" s="26"/>
      <c r="AC1348" s="288">
        <v>80</v>
      </c>
      <c r="AD1348" s="288">
        <v>80</v>
      </c>
      <c r="AE1348" s="288"/>
      <c r="AF1348" s="288"/>
      <c r="AG1348" s="288"/>
      <c r="AH1348" s="288"/>
      <c r="AI1348" s="288"/>
      <c r="AJ1348" s="288"/>
      <c r="AK1348" s="288"/>
      <c r="AL1348" s="288"/>
    </row>
    <row r="1349" spans="2:38" ht="12.75" customHeight="1">
      <c r="B1349" s="554" t="str">
        <f>IF($C$1="ENG","door handle","дверна ручка")</f>
        <v>дверна ручка</v>
      </c>
      <c r="C1349" s="555"/>
      <c r="D1349" s="407" t="str">
        <f t="shared" si="198"/>
        <v/>
      </c>
      <c r="E1349" s="246" t="str">
        <f>IF($C$1="ENG","see Handles Price","див. Таблицю Ручки")</f>
        <v>див. Таблицю Ручки</v>
      </c>
      <c r="F1349" s="26"/>
      <c r="G1349" s="26"/>
      <c r="AC1349" s="297"/>
      <c r="AD1349" s="288"/>
      <c r="AE1349" s="288"/>
      <c r="AF1349" s="288"/>
      <c r="AG1349" s="288"/>
      <c r="AH1349" s="288"/>
      <c r="AI1349" s="288"/>
      <c r="AJ1349" s="288"/>
      <c r="AK1349" s="288"/>
      <c r="AL1349" s="288"/>
    </row>
    <row r="1350" spans="2:38" ht="14.25" customHeight="1">
      <c r="C1350" s="244"/>
      <c r="D1350" s="26"/>
      <c r="E1350" s="26"/>
      <c r="F1350" s="26"/>
      <c r="G1350" s="26"/>
      <c r="H1350" s="5"/>
      <c r="U1350" s="536"/>
      <c r="V1350" s="536"/>
      <c r="W1350" s="536"/>
      <c r="X1350" s="303"/>
      <c r="Y1350" s="303"/>
      <c r="Z1350" s="303"/>
      <c r="AA1350" s="303"/>
      <c r="AB1350" s="303"/>
    </row>
    <row r="1351" spans="2:38" ht="14.25" customHeight="1">
      <c r="C1351" s="244"/>
      <c r="D1351" s="26"/>
      <c r="E1351" s="26"/>
      <c r="F1351" s="26"/>
      <c r="G1351" s="26"/>
      <c r="H1351" s="5"/>
    </row>
    <row r="1352" spans="2:38" ht="14.25" customHeight="1">
      <c r="C1352" s="244"/>
      <c r="D1352" s="26"/>
      <c r="E1352" s="26"/>
      <c r="F1352" s="26"/>
      <c r="G1352" s="26"/>
      <c r="H1352" s="5"/>
    </row>
    <row r="1353" spans="2:38" ht="14.25" customHeight="1">
      <c r="C1353" s="244"/>
      <c r="D1353" s="26"/>
      <c r="E1353" s="26"/>
      <c r="F1353" s="26"/>
      <c r="G1353" s="26"/>
      <c r="H1353" s="5"/>
    </row>
    <row r="1354" spans="2:38" ht="14.25" customHeight="1">
      <c r="C1354" s="244"/>
      <c r="D1354" s="26"/>
      <c r="E1354" s="26"/>
      <c r="F1354" s="26"/>
      <c r="G1354" s="26"/>
      <c r="H1354" s="5"/>
    </row>
    <row r="1355" spans="2:38" ht="14.25" customHeight="1">
      <c r="C1355" s="244"/>
      <c r="D1355" s="26"/>
      <c r="E1355" s="26"/>
      <c r="F1355" s="26"/>
      <c r="G1355" s="26"/>
      <c r="H1355" s="5"/>
    </row>
    <row r="1356" spans="2:38" ht="14.25" customHeight="1">
      <c r="C1356" s="244"/>
      <c r="D1356" s="26"/>
      <c r="E1356" s="26"/>
      <c r="F1356" s="26"/>
      <c r="G1356" s="26"/>
      <c r="H1356" s="5"/>
    </row>
    <row r="1357" spans="2:38" ht="14.25" customHeight="1">
      <c r="C1357" s="244"/>
      <c r="D1357" s="26"/>
      <c r="E1357" s="26"/>
      <c r="F1357" s="26"/>
      <c r="G1357" s="26"/>
      <c r="H1357" s="5"/>
    </row>
    <row r="1358" spans="2:38" ht="14.25" customHeight="1">
      <c r="C1358" s="244"/>
      <c r="D1358" s="26"/>
      <c r="E1358" s="26"/>
      <c r="F1358" s="26"/>
      <c r="G1358" s="26"/>
      <c r="H1358" s="5"/>
    </row>
    <row r="1359" spans="2:38" ht="14.25" customHeight="1">
      <c r="C1359" s="244"/>
      <c r="D1359" s="26"/>
      <c r="E1359" s="26"/>
      <c r="F1359" s="26"/>
      <c r="G1359" s="26"/>
      <c r="H1359" s="5"/>
    </row>
    <row r="1360" spans="2:38" ht="14.25" customHeight="1">
      <c r="C1360" s="244"/>
      <c r="D1360" s="26"/>
      <c r="E1360" s="26"/>
      <c r="F1360" s="26"/>
      <c r="G1360" s="26"/>
      <c r="H1360" s="5"/>
    </row>
    <row r="1361" spans="3:8" ht="14.25" customHeight="1">
      <c r="C1361" s="244"/>
      <c r="D1361" s="26"/>
      <c r="E1361" s="26"/>
      <c r="F1361" s="26"/>
      <c r="G1361" s="26"/>
      <c r="H1361" s="5"/>
    </row>
    <row r="1362" spans="3:8" ht="14.25" customHeight="1">
      <c r="C1362" s="244"/>
      <c r="D1362" s="26"/>
      <c r="E1362" s="26"/>
      <c r="F1362" s="26"/>
      <c r="G1362" s="26"/>
      <c r="H1362" s="5"/>
    </row>
    <row r="1363" spans="3:8" ht="14.25" customHeight="1">
      <c r="C1363" s="244"/>
      <c r="D1363" s="26"/>
      <c r="E1363" s="26"/>
      <c r="F1363" s="26"/>
      <c r="G1363" s="26"/>
      <c r="H1363" s="5"/>
    </row>
    <row r="1364" spans="3:8" ht="14.25" customHeight="1">
      <c r="C1364" s="244"/>
      <c r="D1364" s="26"/>
      <c r="E1364" s="26"/>
      <c r="F1364" s="26"/>
      <c r="G1364" s="26"/>
      <c r="H1364" s="5"/>
    </row>
    <row r="1365" spans="3:8" ht="14.25" customHeight="1">
      <c r="C1365" s="244"/>
      <c r="D1365" s="26"/>
      <c r="E1365" s="26"/>
      <c r="F1365" s="26"/>
      <c r="G1365" s="26"/>
      <c r="H1365" s="5"/>
    </row>
    <row r="1366" spans="3:8" ht="14.25" customHeight="1">
      <c r="C1366" s="244"/>
      <c r="D1366" s="26"/>
      <c r="E1366" s="26"/>
      <c r="F1366" s="26"/>
      <c r="G1366" s="26"/>
      <c r="H1366" s="5"/>
    </row>
    <row r="1367" spans="3:8" ht="14.25" customHeight="1">
      <c r="C1367" s="244"/>
      <c r="D1367" s="26"/>
      <c r="E1367" s="26"/>
      <c r="F1367" s="26"/>
      <c r="G1367" s="26"/>
      <c r="H1367" s="5"/>
    </row>
    <row r="1368" spans="3:8" ht="14.25" customHeight="1">
      <c r="C1368" s="244"/>
      <c r="D1368" s="26"/>
      <c r="E1368" s="26"/>
      <c r="F1368" s="26"/>
      <c r="G1368" s="26"/>
      <c r="H1368" s="5"/>
    </row>
    <row r="1369" spans="3:8" ht="14.25" customHeight="1">
      <c r="C1369" s="244"/>
      <c r="D1369" s="26"/>
      <c r="E1369" s="26"/>
      <c r="F1369" s="26"/>
      <c r="G1369" s="26"/>
      <c r="H1369" s="5"/>
    </row>
    <row r="1370" spans="3:8" ht="14.25" customHeight="1">
      <c r="C1370" s="244"/>
      <c r="D1370" s="26"/>
      <c r="E1370" s="26"/>
      <c r="F1370" s="26"/>
      <c r="G1370" s="26"/>
      <c r="H1370" s="5"/>
    </row>
    <row r="1371" spans="3:8" ht="14.25" customHeight="1">
      <c r="C1371" s="244"/>
      <c r="D1371" s="26"/>
      <c r="E1371" s="26"/>
      <c r="F1371" s="26"/>
      <c r="G1371" s="26"/>
      <c r="H1371" s="5"/>
    </row>
    <row r="1372" spans="3:8" ht="14.25" customHeight="1">
      <c r="C1372" s="244"/>
      <c r="D1372" s="26"/>
      <c r="E1372" s="26"/>
      <c r="F1372" s="26"/>
      <c r="G1372" s="26"/>
      <c r="H1372" s="5"/>
    </row>
    <row r="1373" spans="3:8" ht="14.25" customHeight="1">
      <c r="C1373" s="244"/>
      <c r="D1373" s="26"/>
      <c r="E1373" s="26"/>
      <c r="F1373" s="26"/>
      <c r="G1373" s="26"/>
      <c r="H1373" s="5"/>
    </row>
    <row r="1374" spans="3:8" ht="14.25" customHeight="1">
      <c r="C1374" s="244"/>
      <c r="D1374" s="26"/>
      <c r="E1374" s="26"/>
      <c r="F1374" s="26"/>
      <c r="G1374" s="26"/>
      <c r="H1374" s="5"/>
    </row>
    <row r="1375" spans="3:8" ht="14.25" customHeight="1">
      <c r="C1375" s="244"/>
      <c r="D1375" s="26"/>
      <c r="E1375" s="26"/>
      <c r="F1375" s="26"/>
      <c r="G1375" s="26"/>
      <c r="H1375" s="5"/>
    </row>
    <row r="1376" spans="3:8" ht="14.25" customHeight="1">
      <c r="C1376" s="244"/>
      <c r="D1376" s="26"/>
      <c r="E1376" s="26"/>
      <c r="F1376" s="26"/>
      <c r="G1376" s="26"/>
      <c r="H1376" s="5"/>
    </row>
    <row r="1377" spans="3:8" ht="14.25" customHeight="1">
      <c r="C1377" s="244"/>
      <c r="D1377" s="26"/>
      <c r="E1377" s="26"/>
      <c r="F1377" s="26"/>
      <c r="G1377" s="26"/>
      <c r="H1377" s="5"/>
    </row>
    <row r="1378" spans="3:8" ht="14.25" customHeight="1">
      <c r="C1378" s="244"/>
      <c r="D1378" s="26"/>
      <c r="E1378" s="26"/>
      <c r="F1378" s="26"/>
      <c r="G1378" s="26"/>
      <c r="H1378" s="5"/>
    </row>
    <row r="1379" spans="3:8" ht="14.25" customHeight="1">
      <c r="C1379" s="244"/>
      <c r="D1379" s="26"/>
      <c r="E1379" s="26"/>
      <c r="F1379" s="26"/>
      <c r="G1379" s="26"/>
      <c r="H1379" s="5"/>
    </row>
    <row r="1380" spans="3:8" ht="14.25" customHeight="1">
      <c r="C1380" s="244"/>
      <c r="D1380" s="26"/>
      <c r="E1380" s="26"/>
      <c r="F1380" s="26"/>
      <c r="G1380" s="26"/>
      <c r="H1380" s="5"/>
    </row>
    <row r="1381" spans="3:8" ht="14.25" customHeight="1">
      <c r="C1381" s="244"/>
      <c r="D1381" s="26"/>
      <c r="E1381" s="26"/>
      <c r="F1381" s="26"/>
      <c r="G1381" s="26"/>
      <c r="H1381" s="5"/>
    </row>
    <row r="1382" spans="3:8" ht="14.25" customHeight="1">
      <c r="C1382" s="244"/>
      <c r="D1382" s="26"/>
      <c r="E1382" s="26"/>
      <c r="F1382" s="26"/>
      <c r="G1382" s="26"/>
      <c r="H1382" s="5"/>
    </row>
    <row r="1383" spans="3:8" ht="14.25" customHeight="1">
      <c r="C1383" s="244"/>
      <c r="D1383" s="26"/>
      <c r="E1383" s="26"/>
      <c r="F1383" s="26"/>
      <c r="G1383" s="26"/>
      <c r="H1383" s="5"/>
    </row>
    <row r="1384" spans="3:8" ht="14.25" customHeight="1">
      <c r="C1384" s="244"/>
      <c r="D1384" s="26"/>
      <c r="E1384" s="26"/>
      <c r="F1384" s="26"/>
      <c r="G1384" s="26"/>
      <c r="H1384" s="5"/>
    </row>
    <row r="1385" spans="3:8" ht="14.25" customHeight="1">
      <c r="C1385" s="244"/>
      <c r="D1385" s="26"/>
      <c r="E1385" s="26"/>
      <c r="F1385" s="26"/>
      <c r="G1385" s="26"/>
      <c r="H1385" s="5"/>
    </row>
    <row r="1386" spans="3:8" ht="14.25" customHeight="1">
      <c r="C1386" s="244"/>
      <c r="D1386" s="26"/>
      <c r="E1386" s="26"/>
      <c r="F1386" s="26"/>
      <c r="G1386" s="26"/>
      <c r="H1386" s="5"/>
    </row>
    <row r="1387" spans="3:8" ht="14.25" customHeight="1">
      <c r="C1387" s="244"/>
      <c r="D1387" s="26"/>
      <c r="E1387" s="26"/>
      <c r="F1387" s="26"/>
      <c r="G1387" s="26"/>
      <c r="H1387" s="5"/>
    </row>
    <row r="1388" spans="3:8" ht="14.25" customHeight="1">
      <c r="C1388" s="244"/>
      <c r="D1388" s="26"/>
      <c r="E1388" s="26"/>
      <c r="F1388" s="26"/>
      <c r="G1388" s="26"/>
      <c r="H1388" s="5"/>
    </row>
    <row r="1389" spans="3:8" ht="14.25" customHeight="1">
      <c r="C1389" s="244"/>
      <c r="D1389" s="26"/>
      <c r="E1389" s="26"/>
      <c r="F1389" s="26"/>
      <c r="G1389" s="26"/>
      <c r="H1389" s="5"/>
    </row>
    <row r="1390" spans="3:8" ht="14.25" customHeight="1">
      <c r="C1390" s="244"/>
      <c r="D1390" s="26"/>
      <c r="E1390" s="26"/>
      <c r="F1390" s="26"/>
      <c r="G1390" s="26"/>
      <c r="H1390" s="5"/>
    </row>
    <row r="1391" spans="3:8" ht="14.25" customHeight="1">
      <c r="C1391" s="244"/>
      <c r="D1391" s="26"/>
      <c r="E1391" s="26"/>
      <c r="F1391" s="26"/>
      <c r="G1391" s="26"/>
      <c r="H1391" s="5"/>
    </row>
    <row r="1392" spans="3:8" ht="14.25" customHeight="1">
      <c r="C1392" s="244"/>
      <c r="D1392" s="26"/>
      <c r="E1392" s="26"/>
      <c r="F1392" s="26"/>
      <c r="G1392" s="26"/>
      <c r="H1392" s="5"/>
    </row>
    <row r="1393" spans="3:8" ht="14.25" customHeight="1">
      <c r="C1393" s="244"/>
      <c r="D1393" s="26"/>
      <c r="E1393" s="26"/>
      <c r="F1393" s="26"/>
      <c r="G1393" s="26"/>
      <c r="H1393" s="5"/>
    </row>
    <row r="1394" spans="3:8" ht="14.25" customHeight="1">
      <c r="C1394" s="244"/>
      <c r="D1394" s="26"/>
      <c r="E1394" s="26"/>
      <c r="F1394" s="26"/>
      <c r="G1394" s="26"/>
      <c r="H1394" s="5"/>
    </row>
    <row r="1395" spans="3:8" ht="14.25" customHeight="1">
      <c r="C1395" s="244"/>
      <c r="D1395" s="26"/>
      <c r="E1395" s="26"/>
      <c r="F1395" s="26"/>
      <c r="G1395" s="26"/>
      <c r="H1395" s="5"/>
    </row>
    <row r="1396" spans="3:8" ht="14.25" customHeight="1">
      <c r="C1396" s="244"/>
      <c r="D1396" s="26"/>
      <c r="E1396" s="26"/>
      <c r="F1396" s="26"/>
      <c r="G1396" s="26"/>
      <c r="H1396" s="5"/>
    </row>
    <row r="1397" spans="3:8" ht="14.25" customHeight="1">
      <c r="C1397" s="244"/>
      <c r="D1397" s="26"/>
      <c r="E1397" s="26"/>
      <c r="F1397" s="26"/>
      <c r="G1397" s="26"/>
      <c r="H1397" s="5"/>
    </row>
    <row r="1398" spans="3:8" ht="14.25" customHeight="1">
      <c r="C1398" s="244"/>
      <c r="D1398" s="26"/>
      <c r="E1398" s="26"/>
      <c r="F1398" s="26"/>
      <c r="G1398" s="26"/>
      <c r="H1398" s="5"/>
    </row>
    <row r="1399" spans="3:8" ht="14.25" customHeight="1">
      <c r="C1399" s="244"/>
      <c r="D1399" s="26"/>
      <c r="E1399" s="26"/>
      <c r="F1399" s="26"/>
      <c r="G1399" s="26"/>
      <c r="H1399" s="5"/>
    </row>
    <row r="1400" spans="3:8" ht="14.25" customHeight="1">
      <c r="C1400" s="244"/>
      <c r="D1400" s="26"/>
      <c r="E1400" s="26"/>
      <c r="F1400" s="26"/>
      <c r="G1400" s="26"/>
      <c r="H1400" s="5"/>
    </row>
    <row r="1401" spans="3:8" ht="14.25" customHeight="1">
      <c r="C1401" s="244"/>
      <c r="D1401" s="26"/>
      <c r="E1401" s="26"/>
      <c r="F1401" s="26"/>
      <c r="G1401" s="26"/>
      <c r="H1401" s="5"/>
    </row>
    <row r="1402" spans="3:8" ht="14.25" customHeight="1">
      <c r="C1402" s="244"/>
      <c r="D1402" s="26"/>
      <c r="E1402" s="26"/>
      <c r="F1402" s="26"/>
      <c r="G1402" s="26"/>
      <c r="H1402" s="5"/>
    </row>
    <row r="1403" spans="3:8" ht="14.25" customHeight="1">
      <c r="C1403" s="244"/>
      <c r="D1403" s="26"/>
      <c r="E1403" s="26"/>
      <c r="F1403" s="26"/>
      <c r="G1403" s="26"/>
      <c r="H1403" s="5"/>
    </row>
    <row r="1404" spans="3:8" ht="14.25" customHeight="1">
      <c r="C1404" s="244"/>
      <c r="D1404" s="26"/>
      <c r="E1404" s="26"/>
      <c r="F1404" s="26"/>
      <c r="G1404" s="26"/>
      <c r="H1404" s="5"/>
    </row>
    <row r="1405" spans="3:8" ht="14.25" customHeight="1">
      <c r="C1405" s="244"/>
      <c r="D1405" s="26"/>
      <c r="E1405" s="26"/>
      <c r="F1405" s="26"/>
      <c r="G1405" s="26"/>
      <c r="H1405" s="5"/>
    </row>
    <row r="1406" spans="3:8" ht="14.25" customHeight="1">
      <c r="C1406" s="244"/>
      <c r="D1406" s="26"/>
      <c r="E1406" s="26"/>
      <c r="F1406" s="26"/>
      <c r="G1406" s="26"/>
      <c r="H1406" s="5"/>
    </row>
    <row r="1407" spans="3:8" ht="14.25" customHeight="1">
      <c r="C1407" s="244"/>
      <c r="D1407" s="26"/>
      <c r="E1407" s="26"/>
      <c r="F1407" s="26"/>
      <c r="G1407" s="26"/>
      <c r="H1407" s="5"/>
    </row>
    <row r="1408" spans="3:8" ht="14.25" customHeight="1">
      <c r="C1408" s="244"/>
      <c r="D1408" s="26"/>
      <c r="E1408" s="26"/>
      <c r="F1408" s="26"/>
      <c r="G1408" s="26"/>
      <c r="H1408" s="5"/>
    </row>
    <row r="1409" spans="3:8" ht="14.25" customHeight="1">
      <c r="C1409" s="244"/>
      <c r="D1409" s="26"/>
      <c r="E1409" s="26"/>
      <c r="F1409" s="26"/>
      <c r="G1409" s="26"/>
      <c r="H1409" s="5"/>
    </row>
    <row r="1410" spans="3:8" ht="14.25" customHeight="1">
      <c r="C1410" s="244"/>
      <c r="D1410" s="26"/>
      <c r="E1410" s="26"/>
      <c r="F1410" s="26"/>
      <c r="G1410" s="26"/>
      <c r="H1410" s="5"/>
    </row>
    <row r="1411" spans="3:8" ht="14.25" customHeight="1">
      <c r="C1411" s="244"/>
      <c r="D1411" s="26"/>
      <c r="E1411" s="26"/>
      <c r="F1411" s="26"/>
      <c r="G1411" s="26"/>
      <c r="H1411" s="5"/>
    </row>
    <row r="1412" spans="3:8" ht="14.25" customHeight="1">
      <c r="C1412" s="244"/>
      <c r="D1412" s="26"/>
      <c r="E1412" s="26"/>
      <c r="F1412" s="26"/>
      <c r="G1412" s="26"/>
      <c r="H1412" s="5"/>
    </row>
    <row r="1413" spans="3:8" ht="14.25" customHeight="1">
      <c r="C1413" s="244"/>
      <c r="D1413" s="26"/>
      <c r="E1413" s="26"/>
      <c r="F1413" s="26"/>
      <c r="G1413" s="26"/>
      <c r="H1413" s="5"/>
    </row>
    <row r="1414" spans="3:8" ht="14.25" customHeight="1">
      <c r="C1414" s="244"/>
      <c r="D1414" s="26"/>
      <c r="E1414" s="26"/>
      <c r="F1414" s="26"/>
      <c r="G1414" s="26"/>
      <c r="H1414" s="5"/>
    </row>
    <row r="1415" spans="3:8" ht="14.25" customHeight="1">
      <c r="C1415" s="244"/>
      <c r="D1415" s="26"/>
      <c r="E1415" s="26"/>
      <c r="F1415" s="26"/>
      <c r="G1415" s="26"/>
      <c r="H1415" s="5"/>
    </row>
    <row r="1416" spans="3:8" ht="14.25" customHeight="1">
      <c r="C1416" s="244"/>
      <c r="D1416" s="26"/>
      <c r="E1416" s="26"/>
      <c r="F1416" s="26"/>
      <c r="G1416" s="26"/>
      <c r="H1416" s="5"/>
    </row>
    <row r="1417" spans="3:8" ht="14.25" customHeight="1">
      <c r="C1417" s="244"/>
      <c r="D1417" s="26"/>
      <c r="E1417" s="26"/>
      <c r="F1417" s="26"/>
      <c r="G1417" s="26"/>
      <c r="H1417" s="5"/>
    </row>
    <row r="1418" spans="3:8" ht="14.25" customHeight="1">
      <c r="C1418" s="244"/>
      <c r="D1418" s="26"/>
      <c r="E1418" s="26"/>
      <c r="F1418" s="26"/>
      <c r="G1418" s="26"/>
      <c r="H1418" s="5"/>
    </row>
    <row r="1419" spans="3:8" ht="14.25" customHeight="1">
      <c r="C1419" s="244"/>
      <c r="D1419" s="26"/>
      <c r="E1419" s="26"/>
      <c r="F1419" s="26"/>
      <c r="G1419" s="26"/>
      <c r="H1419" s="5"/>
    </row>
    <row r="1420" spans="3:8" ht="14.25" customHeight="1">
      <c r="C1420" s="244"/>
      <c r="D1420" s="26"/>
      <c r="E1420" s="26"/>
      <c r="F1420" s="26"/>
      <c r="G1420" s="26"/>
      <c r="H1420" s="5"/>
    </row>
    <row r="1421" spans="3:8" ht="14.25" customHeight="1">
      <c r="C1421" s="244"/>
      <c r="D1421" s="26"/>
      <c r="E1421" s="26"/>
      <c r="F1421" s="26"/>
      <c r="G1421" s="26"/>
      <c r="H1421" s="5"/>
    </row>
    <row r="1422" spans="3:8" ht="14.25" customHeight="1">
      <c r="C1422" s="244"/>
      <c r="D1422" s="26"/>
      <c r="E1422" s="26"/>
      <c r="F1422" s="26"/>
      <c r="G1422" s="26"/>
      <c r="H1422" s="5"/>
    </row>
    <row r="1423" spans="3:8" ht="14.25" customHeight="1">
      <c r="C1423" s="244"/>
      <c r="D1423" s="26"/>
      <c r="E1423" s="26"/>
      <c r="F1423" s="26"/>
      <c r="G1423" s="26"/>
      <c r="H1423" s="5"/>
    </row>
    <row r="1424" spans="3:8" ht="14.25" customHeight="1">
      <c r="C1424" s="244"/>
      <c r="D1424" s="26"/>
      <c r="E1424" s="26"/>
      <c r="F1424" s="26"/>
      <c r="G1424" s="26"/>
      <c r="H1424" s="5"/>
    </row>
    <row r="1425" spans="3:8" ht="14.25" customHeight="1">
      <c r="C1425" s="244"/>
      <c r="D1425" s="26"/>
      <c r="E1425" s="26"/>
      <c r="F1425" s="26"/>
      <c r="G1425" s="26"/>
      <c r="H1425" s="5"/>
    </row>
    <row r="1426" spans="3:8" ht="14.25" customHeight="1">
      <c r="C1426" s="244"/>
      <c r="D1426" s="26"/>
      <c r="E1426" s="26"/>
      <c r="F1426" s="26"/>
      <c r="G1426" s="26"/>
      <c r="H1426" s="5"/>
    </row>
    <row r="1427" spans="3:8" ht="14.25" customHeight="1">
      <c r="C1427" s="244"/>
      <c r="D1427" s="26"/>
      <c r="E1427" s="26"/>
      <c r="F1427" s="26"/>
      <c r="G1427" s="26"/>
      <c r="H1427" s="5"/>
    </row>
    <row r="1428" spans="3:8" ht="14.25" customHeight="1">
      <c r="C1428" s="244"/>
      <c r="D1428" s="26"/>
      <c r="E1428" s="26"/>
      <c r="F1428" s="26"/>
      <c r="G1428" s="26"/>
      <c r="H1428" s="5"/>
    </row>
    <row r="1429" spans="3:8" ht="14.25" customHeight="1">
      <c r="C1429" s="244"/>
      <c r="D1429" s="26"/>
      <c r="E1429" s="26"/>
      <c r="F1429" s="26"/>
      <c r="G1429" s="26"/>
      <c r="H1429" s="5"/>
    </row>
    <row r="1430" spans="3:8" ht="14.25" customHeight="1">
      <c r="C1430" s="244"/>
      <c r="D1430" s="26"/>
      <c r="E1430" s="26"/>
      <c r="F1430" s="26"/>
      <c r="G1430" s="26"/>
      <c r="H1430" s="5"/>
    </row>
    <row r="1431" spans="3:8" ht="14.25" customHeight="1">
      <c r="C1431" s="244"/>
      <c r="D1431" s="26"/>
      <c r="E1431" s="26"/>
      <c r="F1431" s="26"/>
      <c r="G1431" s="26"/>
      <c r="H1431" s="5"/>
    </row>
    <row r="1432" spans="3:8" ht="14.25" customHeight="1">
      <c r="C1432" s="244"/>
      <c r="D1432" s="26"/>
      <c r="E1432" s="26"/>
      <c r="F1432" s="26"/>
      <c r="G1432" s="26"/>
      <c r="H1432" s="5"/>
    </row>
    <row r="1433" spans="3:8" ht="14.25" customHeight="1">
      <c r="C1433" s="244"/>
      <c r="D1433" s="26"/>
      <c r="E1433" s="26"/>
      <c r="F1433" s="26"/>
      <c r="G1433" s="26"/>
      <c r="H1433" s="5"/>
    </row>
    <row r="1434" spans="3:8" ht="14.25" customHeight="1">
      <c r="C1434" s="244"/>
      <c r="D1434" s="26"/>
      <c r="E1434" s="26"/>
      <c r="F1434" s="26"/>
      <c r="G1434" s="26"/>
      <c r="H1434" s="5"/>
    </row>
    <row r="1435" spans="3:8" ht="14.25" customHeight="1">
      <c r="C1435" s="244"/>
      <c r="D1435" s="26"/>
      <c r="E1435" s="26"/>
      <c r="F1435" s="26"/>
      <c r="G1435" s="26"/>
      <c r="H1435" s="5"/>
    </row>
    <row r="1436" spans="3:8" ht="14.25" customHeight="1">
      <c r="C1436" s="244"/>
      <c r="D1436" s="26"/>
      <c r="E1436" s="26"/>
      <c r="F1436" s="26"/>
      <c r="G1436" s="26"/>
      <c r="H1436" s="5"/>
    </row>
    <row r="1437" spans="3:8" ht="14.25" customHeight="1">
      <c r="C1437" s="244"/>
      <c r="D1437" s="26"/>
      <c r="E1437" s="26"/>
      <c r="F1437" s="26"/>
      <c r="G1437" s="26"/>
      <c r="H1437" s="5"/>
    </row>
    <row r="1438" spans="3:8" ht="14.25" customHeight="1">
      <c r="C1438" s="244"/>
      <c r="D1438" s="26"/>
      <c r="E1438" s="26"/>
      <c r="F1438" s="26"/>
      <c r="G1438" s="26"/>
      <c r="H1438" s="5"/>
    </row>
    <row r="1439" spans="3:8" ht="14.25" customHeight="1">
      <c r="C1439" s="244"/>
      <c r="D1439" s="26"/>
      <c r="E1439" s="26"/>
      <c r="F1439" s="26"/>
      <c r="G1439" s="26"/>
      <c r="H1439" s="5"/>
    </row>
    <row r="1440" spans="3:8" ht="14.25" customHeight="1">
      <c r="C1440" s="244"/>
      <c r="D1440" s="26"/>
      <c r="E1440" s="26"/>
      <c r="F1440" s="26"/>
      <c r="G1440" s="26"/>
      <c r="H1440" s="5"/>
    </row>
    <row r="1441" spans="1:46" ht="14.25" customHeight="1">
      <c r="C1441" s="244"/>
      <c r="D1441" s="26"/>
      <c r="E1441" s="26"/>
      <c r="F1441" s="26"/>
      <c r="G1441" s="26"/>
      <c r="H1441" s="5"/>
    </row>
    <row r="1442" spans="1:46" ht="14.25" customHeight="1">
      <c r="C1442" s="244"/>
      <c r="D1442" s="26"/>
      <c r="E1442" s="26"/>
      <c r="F1442" s="26"/>
      <c r="G1442" s="26"/>
      <c r="H1442" s="5"/>
    </row>
    <row r="1443" spans="1:46" ht="14.25" customHeight="1">
      <c r="C1443" s="244"/>
      <c r="D1443" s="26"/>
      <c r="E1443" s="26"/>
      <c r="F1443" s="26"/>
      <c r="G1443" s="26"/>
      <c r="H1443" s="5"/>
    </row>
    <row r="1444" spans="1:46" ht="14.25" customHeight="1">
      <c r="C1444" s="244"/>
      <c r="D1444" s="26"/>
      <c r="E1444" s="26"/>
      <c r="F1444" s="26"/>
      <c r="G1444" s="26"/>
      <c r="H1444" s="5"/>
    </row>
    <row r="1445" spans="1:46" ht="14.25" customHeight="1">
      <c r="C1445" s="244"/>
      <c r="D1445" s="26"/>
      <c r="E1445" s="26"/>
      <c r="F1445" s="26"/>
      <c r="G1445" s="26"/>
      <c r="H1445" s="5"/>
    </row>
    <row r="1446" spans="1:46" s="8" customFormat="1">
      <c r="B1446" s="550" t="str">
        <f>TITLE!C27</f>
        <v>Полотна збірні: ТІАНА</v>
      </c>
      <c r="C1446" s="550"/>
      <c r="D1446" s="117"/>
      <c r="E1446" s="117"/>
      <c r="F1446" s="117"/>
      <c r="G1446" s="117"/>
      <c r="H1446" s="552"/>
      <c r="I1446" s="552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544"/>
      <c r="U1446" s="544"/>
      <c r="V1446" s="544"/>
      <c r="W1446" s="544"/>
      <c r="AN1446" s="279"/>
      <c r="AO1446" s="279"/>
      <c r="AP1446" s="279"/>
      <c r="AQ1446" s="279"/>
      <c r="AR1446" s="279"/>
      <c r="AS1446" s="279"/>
      <c r="AT1446" s="279"/>
    </row>
    <row r="1447" spans="1:46" s="8" customFormat="1" ht="5.0999999999999996" customHeight="1">
      <c r="B1447" s="116"/>
      <c r="C1447" s="418"/>
      <c r="D1447" s="9"/>
      <c r="E1447" s="9"/>
      <c r="F1447" s="9"/>
      <c r="G1447" s="9"/>
      <c r="H1447" s="119"/>
      <c r="I1447" s="119"/>
      <c r="T1447" s="114"/>
      <c r="U1447" s="114"/>
      <c r="V1447" s="114"/>
      <c r="W1447" s="114"/>
      <c r="AN1447" s="279"/>
      <c r="AO1447" s="279"/>
      <c r="AP1447" s="279"/>
      <c r="AQ1447" s="279"/>
      <c r="AR1447" s="279"/>
      <c r="AS1447" s="279"/>
      <c r="AT1447" s="279"/>
    </row>
    <row r="1448" spans="1:46" s="8" customFormat="1" ht="12.75" customHeight="1">
      <c r="B1448" s="556" t="str">
        <f>IF($C$1="ENG","model","модель")</f>
        <v>модель</v>
      </c>
      <c r="C1448" s="121" t="str">
        <f>IF($C$1="ENG","cover:","покриття:")</f>
        <v>покриття:</v>
      </c>
      <c r="D1448" s="538" t="str">
        <f>IF($C$1="ENG","Verto-CELL","Verto-CELL")</f>
        <v>Verto-CELL</v>
      </c>
      <c r="E1448" s="539"/>
      <c r="F1448" s="538" t="str">
        <f>IF($C$1="ENG","UNI-MAT","UNI-MAT")</f>
        <v>UNI-MAT</v>
      </c>
      <c r="G1448" s="539"/>
      <c r="H1448" s="538" t="str">
        <f>IF($C$1="ENG","RESIST","RESIST")</f>
        <v>RESIST</v>
      </c>
      <c r="I1448" s="539"/>
      <c r="J1448" s="538" t="str">
        <f>IF($C$1="ENG","Verto LINE-3D","Verto LINE-3D")</f>
        <v>Verto LINE-3D</v>
      </c>
      <c r="K1448" s="539"/>
      <c r="L1448" s="538" t="str">
        <f>IF($C$1="ENG","ECO Shpon","ЕКО Шпон")</f>
        <v>ЕКО Шпон</v>
      </c>
      <c r="M1448" s="539"/>
      <c r="P1448" s="1"/>
      <c r="Q1448" s="1"/>
      <c r="T1448" s="114"/>
      <c r="U1448" s="114"/>
      <c r="V1448" s="114"/>
      <c r="W1448" s="114"/>
      <c r="AN1448" s="279"/>
      <c r="AO1448" s="279"/>
      <c r="AP1448" s="279"/>
      <c r="AQ1448" s="279"/>
      <c r="AR1448" s="279"/>
      <c r="AS1448" s="279"/>
      <c r="AT1448" s="279"/>
    </row>
    <row r="1449" spans="1:46" s="8" customFormat="1" ht="24.75" customHeight="1">
      <c r="B1449" s="557"/>
      <c r="C1449" s="122" t="str">
        <f>IF($C$1="ENG","filling:","заповнення:")</f>
        <v>заповнення:</v>
      </c>
      <c r="D1449" s="540" t="str">
        <f>IF($C$1="ENG","softwood","клеєний сосновий брус")</f>
        <v>клеєний сосновий брус</v>
      </c>
      <c r="E1449" s="541"/>
      <c r="F1449" s="540" t="str">
        <f>IF($C$1="ENG","softwood","клеєний сосновий брус")</f>
        <v>клеєний сосновий брус</v>
      </c>
      <c r="G1449" s="541"/>
      <c r="H1449" s="540" t="str">
        <f>IF($C$1="ENG","softwood","клеєний сосновий брус")</f>
        <v>клеєний сосновий брус</v>
      </c>
      <c r="I1449" s="541"/>
      <c r="J1449" s="540" t="str">
        <f>IF($C$1="ENG","softwood","клеєний сосновий брус")</f>
        <v>клеєний сосновий брус</v>
      </c>
      <c r="K1449" s="541"/>
      <c r="L1449" s="540" t="str">
        <f>IF($C$1="ENG","softwood","клеєний сосновий брус")</f>
        <v>клеєний сосновий брус</v>
      </c>
      <c r="M1449" s="541"/>
      <c r="P1449" s="1"/>
      <c r="Q1449" s="1"/>
      <c r="T1449" s="114"/>
      <c r="U1449" s="114"/>
      <c r="V1449" s="114"/>
      <c r="W1449" s="114"/>
      <c r="AD1449" s="381">
        <f>AD1451/AC1451-1</f>
        <v>0.12812960235640647</v>
      </c>
      <c r="AE1449" s="381">
        <f>AE1451/AD1451-1</f>
        <v>3.0026109660574507E-2</v>
      </c>
      <c r="AF1449" s="381">
        <f>AF1451/AE1451-1</f>
        <v>7.3510773130545104E-2</v>
      </c>
      <c r="AG1449" s="381">
        <f>AG1451/AF1451-1</f>
        <v>4.7225501770956413E-2</v>
      </c>
      <c r="AH1449" s="8">
        <v>6060</v>
      </c>
      <c r="AI1449" s="8">
        <v>7040</v>
      </c>
      <c r="AJ1449" s="8">
        <v>7560</v>
      </c>
      <c r="AK1449" s="8">
        <v>7920</v>
      </c>
      <c r="AN1449" s="279"/>
      <c r="AO1449" s="279"/>
      <c r="AP1449" s="279"/>
      <c r="AQ1449" s="279"/>
      <c r="AR1449" s="279"/>
      <c r="AS1449" s="279"/>
      <c r="AT1449" s="279"/>
    </row>
    <row r="1450" spans="1:46" ht="12.75" customHeight="1">
      <c r="A1450" s="8"/>
      <c r="B1450" s="558"/>
      <c r="C1450" s="123" t="str">
        <f>IF($C$1="ENG","glazing:","скління:")</f>
        <v>скління:</v>
      </c>
      <c r="D1450" s="542" t="str">
        <f>IF($C$1="ENG","Satin","Сатин")</f>
        <v>Сатин</v>
      </c>
      <c r="E1450" s="543"/>
      <c r="F1450" s="542" t="str">
        <f>IF($C$1="ENG","Satin","Сатин")</f>
        <v>Сатин</v>
      </c>
      <c r="G1450" s="543"/>
      <c r="H1450" s="542" t="str">
        <f>IF($C$1="ENG","Satin","Сатин")</f>
        <v>Сатин</v>
      </c>
      <c r="I1450" s="543"/>
      <c r="J1450" s="542" t="str">
        <f>IF($C$1="ENG","Satin","Сатин")</f>
        <v>Сатин</v>
      </c>
      <c r="K1450" s="543"/>
      <c r="L1450" s="542" t="str">
        <f>IF($C$1="ENG","Satin","Сатин")</f>
        <v>Сатин</v>
      </c>
      <c r="M1450" s="543"/>
    </row>
    <row r="1451" spans="1:46" ht="35.1" customHeight="1">
      <c r="A1451" s="8"/>
      <c r="B1451" s="16" t="s">
        <v>40</v>
      </c>
      <c r="C1451" s="17"/>
      <c r="D1451" s="18">
        <f>IF(AC1451="","",(1-$W$2)*(AC1451/1.2))</f>
        <v>5658.3333333333339</v>
      </c>
      <c r="E1451" s="66">
        <f>IF($W$5=0.2,D1451*1.2,D1451)/$W$4</f>
        <v>6790.0000000000009</v>
      </c>
      <c r="F1451" s="18">
        <f>IF(AD1451="","",(1-$W$2)*(AD1451/1.2))</f>
        <v>6383.3333333333339</v>
      </c>
      <c r="G1451" s="66">
        <f>IF($W$5=0.2,F1451*1.2,F1451)/$W$4</f>
        <v>7660</v>
      </c>
      <c r="H1451" s="18">
        <f>IF(AE1451="","",(1-$W$2)*(AE1451/1.2))</f>
        <v>6575</v>
      </c>
      <c r="I1451" s="66">
        <f>IF($W$5=0.2,H1451*1.2,H1451)/$W$4</f>
        <v>7890</v>
      </c>
      <c r="J1451" s="18">
        <f>IF(AF1451="","",(1-$W$2)*(AF1451/1.2))</f>
        <v>7058.3333333333339</v>
      </c>
      <c r="K1451" s="66">
        <f>IF($W$5=0.2,J1451*1.2,J1451)/$W$4</f>
        <v>8470</v>
      </c>
      <c r="L1451" s="18">
        <f>IF(AG1451="","",(1-$W$2)*(AG1451/1.2))</f>
        <v>7391.666666666667</v>
      </c>
      <c r="M1451" s="66">
        <f>IF($W$5=0.2,L1451*1.2,L1451)/$W$4</f>
        <v>8870</v>
      </c>
      <c r="N1451" s="103"/>
      <c r="R1451" s="103"/>
      <c r="T1451" s="103"/>
      <c r="U1451" s="20"/>
      <c r="V1451" s="103"/>
      <c r="W1451" s="20"/>
      <c r="X1451" s="103"/>
      <c r="Y1451" s="103"/>
      <c r="Z1451" s="103"/>
      <c r="AA1451" s="103"/>
      <c r="AB1451" s="103"/>
      <c r="AC1451" s="331">
        <v>6790</v>
      </c>
      <c r="AD1451" s="389">
        <v>7660</v>
      </c>
      <c r="AE1451" s="331">
        <v>7890</v>
      </c>
      <c r="AF1451" s="331">
        <v>8470</v>
      </c>
      <c r="AG1451" s="331">
        <v>8870</v>
      </c>
      <c r="AH1451" s="288">
        <v>6790</v>
      </c>
      <c r="AI1451" s="288">
        <f>AH1451/AC1451-1</f>
        <v>0</v>
      </c>
      <c r="AJ1451" s="288">
        <v>7660</v>
      </c>
      <c r="AK1451" s="288">
        <f>AJ1451/AD1451-1</f>
        <v>0</v>
      </c>
      <c r="AL1451" s="288">
        <v>7890</v>
      </c>
      <c r="AM1451" s="288">
        <f>AL1451/AE1451-1</f>
        <v>0</v>
      </c>
      <c r="AN1451" s="288">
        <v>8470</v>
      </c>
      <c r="AO1451" s="288">
        <f>AN1451/AF1451-1</f>
        <v>0</v>
      </c>
      <c r="AP1451" s="288">
        <v>8870</v>
      </c>
      <c r="AQ1451" s="288">
        <f>AP1451/AG1451-1</f>
        <v>0</v>
      </c>
    </row>
    <row r="1452" spans="1:46" ht="35.1" customHeight="1">
      <c r="A1452" s="8"/>
      <c r="B1452" s="23" t="s">
        <v>41</v>
      </c>
      <c r="C1452" s="24"/>
      <c r="D1452" s="25">
        <f>IF(AC1452="","",(1-$W$2)*(AC1452/1.2))</f>
        <v>5658.3333333333339</v>
      </c>
      <c r="E1452" s="69">
        <f>IF($W$5=0.2,D1452*1.2,D1452)/$W$4</f>
        <v>6790.0000000000009</v>
      </c>
      <c r="F1452" s="25">
        <f>IF(AD1452="","",(1-$W$2)*(AD1452/1.2))</f>
        <v>6383.3333333333339</v>
      </c>
      <c r="G1452" s="69">
        <f>IF($W$5=0.2,F1452*1.2,F1452)/$W$4</f>
        <v>7660</v>
      </c>
      <c r="H1452" s="25">
        <f>IF(AE1452="","",(1-$W$2)*(AE1452/1.2))</f>
        <v>6575</v>
      </c>
      <c r="I1452" s="69">
        <f>IF($W$5=0.2,H1452*1.2,H1452)/$W$4</f>
        <v>7890</v>
      </c>
      <c r="J1452" s="25">
        <f>IF(AF1452="","",(1-$W$2)*(AF1452/1.2))</f>
        <v>7058.3333333333339</v>
      </c>
      <c r="K1452" s="69">
        <f>IF($W$5=0.2,J1452*1.2,J1452)/$W$4</f>
        <v>8470</v>
      </c>
      <c r="L1452" s="25">
        <f>IF(AG1452="","",(1-$W$2)*(AG1452/1.2))</f>
        <v>7391.666666666667</v>
      </c>
      <c r="M1452" s="69">
        <f>IF($W$5=0.2,L1452*1.2,L1452)/$W$4</f>
        <v>8870</v>
      </c>
      <c r="N1452" s="103"/>
      <c r="R1452" s="103"/>
      <c r="T1452" s="103"/>
      <c r="U1452" s="20"/>
      <c r="V1452" s="103"/>
      <c r="W1452" s="20"/>
      <c r="X1452" s="103"/>
      <c r="Y1452" s="103"/>
      <c r="Z1452" s="103"/>
      <c r="AA1452" s="103"/>
      <c r="AB1452" s="103"/>
      <c r="AC1452" s="331">
        <v>6790</v>
      </c>
      <c r="AD1452" s="389">
        <v>7660</v>
      </c>
      <c r="AE1452" s="331">
        <v>7890</v>
      </c>
      <c r="AF1452" s="331">
        <v>8470</v>
      </c>
      <c r="AG1452" s="331">
        <v>8870</v>
      </c>
      <c r="AH1452" s="288">
        <v>6790</v>
      </c>
      <c r="AI1452" s="288">
        <f>AH1452/AC1452-1</f>
        <v>0</v>
      </c>
      <c r="AJ1452" s="288">
        <v>7660</v>
      </c>
      <c r="AK1452" s="288">
        <f>AJ1452/AD1452-1</f>
        <v>0</v>
      </c>
      <c r="AL1452" s="288">
        <v>7890</v>
      </c>
      <c r="AM1452" s="288">
        <f>AL1452/AE1452-1</f>
        <v>0</v>
      </c>
      <c r="AN1452" s="288">
        <v>8470</v>
      </c>
      <c r="AO1452" s="288">
        <f>AN1452/AF1452-1</f>
        <v>0</v>
      </c>
      <c r="AP1452" s="288">
        <v>8870</v>
      </c>
      <c r="AQ1452" s="288">
        <f>AP1452/AG1452-1</f>
        <v>0</v>
      </c>
    </row>
    <row r="1453" spans="1:46">
      <c r="C1453" s="244"/>
      <c r="D1453" s="26"/>
      <c r="E1453" s="57"/>
      <c r="F1453" s="26"/>
      <c r="G1453" s="57"/>
      <c r="H1453" s="10"/>
      <c r="I1453" s="8"/>
      <c r="J1453" s="8"/>
      <c r="K1453" s="8"/>
    </row>
    <row r="1454" spans="1:46">
      <c r="B1454" s="211" t="str">
        <f>IF($C$1="ENG","For additonal charge:","Послуги за додаткову плату:")</f>
        <v>Послуги за додаткову плату:</v>
      </c>
      <c r="C1454" s="419"/>
      <c r="D1454" s="212"/>
      <c r="E1454" s="213"/>
      <c r="F1454" s="26"/>
      <c r="G1454" s="57"/>
      <c r="H1454" s="10"/>
      <c r="I1454" s="8"/>
      <c r="J1454" s="8"/>
      <c r="K1454" s="8"/>
    </row>
    <row r="1455" spans="1:46" ht="5.0999999999999996" customHeight="1">
      <c r="B1455" s="27"/>
      <c r="C1455" s="244"/>
      <c r="D1455" s="26"/>
      <c r="E1455" s="57"/>
      <c r="F1455" s="26"/>
      <c r="G1455" s="57"/>
      <c r="H1455" s="10"/>
      <c r="I1455" s="8"/>
      <c r="J1455" s="8"/>
      <c r="K1455" s="8"/>
    </row>
    <row r="1456" spans="1:46">
      <c r="B1456" s="561" t="str">
        <f>IF($C$1="ENG","door leaf with width 100","полотно розміром 100")</f>
        <v>полотно розміром 100</v>
      </c>
      <c r="C1456" s="562"/>
      <c r="D1456" s="131">
        <f t="shared" ref="D1456:D1468" si="204">IF(AC1456="","",(1-$W$2)*(AC1456/1.2))</f>
        <v>600</v>
      </c>
      <c r="E1456" s="91">
        <f t="shared" ref="E1456:E1467" si="205">IF($W$5=0.2,D1456*1.2,D1456)/$W$4</f>
        <v>720</v>
      </c>
      <c r="F1456" s="26"/>
      <c r="G1456" s="26"/>
      <c r="H1456" s="10"/>
      <c r="I1456" s="8"/>
      <c r="J1456" s="8"/>
      <c r="K1456" s="8"/>
      <c r="AC1456" s="288">
        <v>720</v>
      </c>
      <c r="AD1456" s="288">
        <v>720</v>
      </c>
      <c r="AE1456" s="288"/>
      <c r="AF1456" s="288"/>
      <c r="AG1456" s="288"/>
      <c r="AH1456" s="288"/>
      <c r="AI1456" s="288"/>
      <c r="AJ1456" s="288"/>
      <c r="AK1456" s="288"/>
      <c r="AL1456" s="288"/>
    </row>
    <row r="1457" spans="2:38">
      <c r="B1457" s="561" t="str">
        <f>IF($C$1="ENG","Ventilation cut","вентиляційний підріз")</f>
        <v>вентиляційний підріз</v>
      </c>
      <c r="C1457" s="562"/>
      <c r="D1457" s="132">
        <f t="shared" si="204"/>
        <v>141.66666666666669</v>
      </c>
      <c r="E1457" s="66">
        <f t="shared" si="205"/>
        <v>170.00000000000003</v>
      </c>
      <c r="F1457" s="26"/>
      <c r="G1457" s="26"/>
      <c r="I1457" s="59"/>
      <c r="J1457" s="28"/>
      <c r="AC1457" s="288">
        <v>170</v>
      </c>
      <c r="AD1457" s="288">
        <v>170</v>
      </c>
      <c r="AE1457" s="288"/>
      <c r="AF1457" s="288"/>
      <c r="AG1457" s="288"/>
      <c r="AH1457" s="288"/>
      <c r="AI1457" s="288"/>
      <c r="AJ1457" s="288"/>
      <c r="AK1457" s="288"/>
      <c r="AL1457" s="288"/>
    </row>
    <row r="1458" spans="2:38">
      <c r="B1458" s="554" t="str">
        <f>IF($C$1="ENG","glazing Graphite / Bronze","скло Графіт / Бронза")</f>
        <v>скло Графіт / Бронза</v>
      </c>
      <c r="C1458" s="555"/>
      <c r="D1458" s="101">
        <f t="shared" si="204"/>
        <v>458.33333333333337</v>
      </c>
      <c r="E1458" s="92">
        <f t="shared" si="205"/>
        <v>550</v>
      </c>
      <c r="F1458" s="26"/>
      <c r="G1458" s="26"/>
      <c r="H1458" s="5"/>
      <c r="AC1458" s="288">
        <v>550</v>
      </c>
      <c r="AD1458" s="288">
        <v>550</v>
      </c>
      <c r="AE1458" s="288"/>
      <c r="AF1458" s="288"/>
      <c r="AG1458" s="288"/>
      <c r="AH1458" s="288"/>
      <c r="AI1458" s="288"/>
      <c r="AJ1458" s="288"/>
      <c r="AK1458" s="288"/>
      <c r="AL1458" s="288"/>
    </row>
    <row r="1459" spans="2:38">
      <c r="B1459" s="554" t="str">
        <f>IF($C$1="ENG","glazing Lacobel black ","скло Lacobel чорне")</f>
        <v>скло Lacobel чорне</v>
      </c>
      <c r="C1459" s="555"/>
      <c r="D1459" s="405">
        <f t="shared" si="204"/>
        <v>458.33333333333337</v>
      </c>
      <c r="E1459" s="92">
        <f>IF($W$5=0.2,D1459*1.2,D1459)/$W$4</f>
        <v>550</v>
      </c>
      <c r="F1459" s="26"/>
      <c r="G1459" s="26"/>
      <c r="H1459" s="5"/>
      <c r="AC1459" s="297">
        <v>550</v>
      </c>
      <c r="AD1459" s="297">
        <v>550</v>
      </c>
      <c r="AE1459" s="288"/>
      <c r="AF1459" s="288"/>
      <c r="AG1459" s="288"/>
      <c r="AH1459" s="288"/>
      <c r="AI1459" s="288"/>
      <c r="AJ1459" s="288"/>
      <c r="AK1459" s="288"/>
      <c r="AL1459" s="288"/>
    </row>
    <row r="1460" spans="2:38">
      <c r="B1460" s="554" t="str">
        <f>IF($C$1="ENG","door lock Soft","замок Soft")</f>
        <v>замок Soft</v>
      </c>
      <c r="C1460" s="555"/>
      <c r="D1460" s="101">
        <f t="shared" si="204"/>
        <v>458.33333333333337</v>
      </c>
      <c r="E1460" s="92">
        <f t="shared" si="205"/>
        <v>550</v>
      </c>
      <c r="F1460" s="26"/>
      <c r="G1460" s="26"/>
      <c r="H1460" s="5"/>
      <c r="AC1460" s="288">
        <v>550</v>
      </c>
      <c r="AD1460" s="288">
        <v>550</v>
      </c>
      <c r="AE1460" s="288"/>
      <c r="AF1460" s="288"/>
      <c r="AG1460" s="288"/>
      <c r="AH1460" s="288"/>
      <c r="AI1460" s="288"/>
      <c r="AJ1460" s="288"/>
      <c r="AK1460" s="288"/>
      <c r="AL1460" s="288"/>
    </row>
    <row r="1461" spans="2:38">
      <c r="B1461" s="554" t="str">
        <f>IF($C$1="ENG","door lock Soft black","замок Soft чорн.")</f>
        <v>замок Soft чорн.</v>
      </c>
      <c r="C1461" s="555"/>
      <c r="D1461" s="101">
        <f t="shared" ref="D1461" si="206">IF(AC1461="","",(1-$W$2)*(AC1461/1.2))</f>
        <v>566.66666666666674</v>
      </c>
      <c r="E1461" s="92">
        <f t="shared" ref="E1461" si="207">IF($W$5=0.2,D1461*1.2,D1461)/$W$4</f>
        <v>680.00000000000011</v>
      </c>
      <c r="F1461" s="26"/>
      <c r="G1461" s="26"/>
      <c r="H1461" s="5"/>
      <c r="AC1461" s="288">
        <v>680</v>
      </c>
      <c r="AD1461" s="288"/>
      <c r="AE1461" s="288"/>
      <c r="AF1461" s="288"/>
      <c r="AG1461" s="288"/>
      <c r="AH1461" s="288"/>
      <c r="AI1461" s="288"/>
      <c r="AJ1461" s="288"/>
      <c r="AK1461" s="288"/>
      <c r="AL1461" s="288"/>
    </row>
    <row r="1462" spans="2:38">
      <c r="B1462" s="554" t="str">
        <f>IF($C$1="ENG","door lock Magnet","замок Magnet")</f>
        <v>замок Magnet</v>
      </c>
      <c r="C1462" s="555"/>
      <c r="D1462" s="101">
        <f t="shared" si="204"/>
        <v>666.66666666666674</v>
      </c>
      <c r="E1462" s="92">
        <f t="shared" si="205"/>
        <v>800.00000000000011</v>
      </c>
      <c r="F1462" s="26"/>
      <c r="G1462" s="26"/>
      <c r="H1462" s="5"/>
      <c r="AC1462" s="288">
        <v>800</v>
      </c>
      <c r="AD1462" s="288">
        <v>800</v>
      </c>
      <c r="AE1462" s="288"/>
      <c r="AF1462" s="288"/>
      <c r="AG1462" s="288"/>
      <c r="AH1462" s="288"/>
      <c r="AI1462" s="288"/>
      <c r="AJ1462" s="288"/>
      <c r="AK1462" s="288"/>
      <c r="AL1462" s="288"/>
    </row>
    <row r="1463" spans="2:38">
      <c r="B1463" s="554" t="s">
        <v>66</v>
      </c>
      <c r="C1463" s="555"/>
      <c r="D1463" s="101">
        <f t="shared" ref="D1463" si="208">IF(AC1463="","",(1-$W$2)*(AC1463/1.2))</f>
        <v>833.33333333333337</v>
      </c>
      <c r="E1463" s="92">
        <f t="shared" ref="E1463" si="209">IF($W$5=0.2,D1463*1.2,D1463)/$W$4</f>
        <v>1000</v>
      </c>
      <c r="F1463" s="26"/>
      <c r="G1463" s="26"/>
      <c r="H1463" s="5"/>
      <c r="AC1463" s="288">
        <v>1000</v>
      </c>
      <c r="AD1463" s="288"/>
      <c r="AE1463" s="288"/>
      <c r="AF1463" s="288"/>
      <c r="AG1463" s="288"/>
      <c r="AH1463" s="288"/>
      <c r="AI1463" s="288"/>
      <c r="AJ1463" s="288"/>
      <c r="AK1463" s="288"/>
      <c r="AL1463" s="288"/>
    </row>
    <row r="1464" spans="2:38">
      <c r="B1464" s="554" t="str">
        <f>IF($C$1="ENG","door handle-lock (for sliding doors)","ручка-замок (для дверей купе)")</f>
        <v>ручка-замок (для дверей купе)</v>
      </c>
      <c r="C1464" s="555"/>
      <c r="D1464" s="132">
        <f t="shared" si="204"/>
        <v>466.66666666666669</v>
      </c>
      <c r="E1464" s="92">
        <f t="shared" si="205"/>
        <v>560</v>
      </c>
      <c r="F1464" s="26"/>
      <c r="G1464" s="26"/>
      <c r="I1464" s="11"/>
      <c r="J1464" s="11"/>
      <c r="K1464" s="19"/>
      <c r="AC1464" s="288">
        <v>560</v>
      </c>
      <c r="AD1464" s="288">
        <v>560</v>
      </c>
      <c r="AE1464" s="288"/>
      <c r="AF1464" s="288"/>
      <c r="AG1464" s="288"/>
      <c r="AH1464" s="288"/>
      <c r="AI1464" s="288"/>
      <c r="AJ1464" s="288"/>
      <c r="AK1464" s="288"/>
      <c r="AL1464" s="288"/>
    </row>
    <row r="1465" spans="2:38">
      <c r="B1465" s="554" t="str">
        <f>IF($C$1="ENG","cylinder incert","циліндр несиметричний")</f>
        <v>циліндр несиметричний</v>
      </c>
      <c r="C1465" s="555"/>
      <c r="D1465" s="132">
        <f t="shared" si="204"/>
        <v>316.66666666666669</v>
      </c>
      <c r="E1465" s="92">
        <f t="shared" si="205"/>
        <v>380</v>
      </c>
      <c r="F1465" s="26"/>
      <c r="G1465" s="26"/>
      <c r="AC1465" s="288">
        <v>380</v>
      </c>
      <c r="AD1465" s="288">
        <v>380</v>
      </c>
      <c r="AE1465" s="288"/>
      <c r="AF1465" s="288"/>
      <c r="AG1465" s="288"/>
      <c r="AH1465" s="288"/>
      <c r="AI1465" s="288"/>
      <c r="AJ1465" s="288"/>
      <c r="AK1465" s="288"/>
      <c r="AL1465" s="288"/>
    </row>
    <row r="1466" spans="2:38">
      <c r="B1466" s="554" t="str">
        <f>IF($C$1="ENG","door hindge Prestige (1 unit)","завіса Prestige (1 шт)")</f>
        <v>завіса Prestige (1 шт)</v>
      </c>
      <c r="C1466" s="555"/>
      <c r="D1466" s="134">
        <f t="shared" si="204"/>
        <v>216.66666666666669</v>
      </c>
      <c r="E1466" s="92">
        <f t="shared" si="205"/>
        <v>260</v>
      </c>
      <c r="F1466" s="26"/>
      <c r="G1466" s="26"/>
      <c r="AC1466" s="288">
        <v>260</v>
      </c>
      <c r="AD1466" s="288">
        <v>260</v>
      </c>
      <c r="AE1466" s="288"/>
      <c r="AF1466" s="288"/>
      <c r="AG1466" s="288"/>
      <c r="AH1466" s="288"/>
      <c r="AI1466" s="288"/>
      <c r="AJ1466" s="288"/>
      <c r="AK1466" s="288"/>
      <c r="AL1466" s="288"/>
    </row>
    <row r="1467" spans="2:38">
      <c r="B1467" s="554" t="str">
        <f>IF($C$1="ENG","door hinge caps (1 set)","накладка на завіси (1 к-т)")</f>
        <v>накладка на завіси (1 к-т)</v>
      </c>
      <c r="C1467" s="555"/>
      <c r="D1467" s="134">
        <f t="shared" si="204"/>
        <v>66.666666666666671</v>
      </c>
      <c r="E1467" s="92">
        <f t="shared" si="205"/>
        <v>80</v>
      </c>
      <c r="F1467" s="26"/>
      <c r="G1467" s="26"/>
      <c r="AC1467" s="288">
        <v>80</v>
      </c>
      <c r="AD1467" s="288">
        <v>80</v>
      </c>
      <c r="AE1467" s="288"/>
      <c r="AF1467" s="288"/>
      <c r="AG1467" s="288"/>
      <c r="AH1467" s="288"/>
      <c r="AI1467" s="288"/>
      <c r="AJ1467" s="288"/>
      <c r="AK1467" s="288"/>
      <c r="AL1467" s="288"/>
    </row>
    <row r="1468" spans="2:38">
      <c r="B1468" s="554" t="str">
        <f>IF($C$1="ENG","door handle","дверна ручка")</f>
        <v>дверна ручка</v>
      </c>
      <c r="C1468" s="555"/>
      <c r="D1468" s="133" t="str">
        <f t="shared" si="204"/>
        <v/>
      </c>
      <c r="E1468" s="246" t="str">
        <f>IF($C$1="ENG","see Handles Price","див. Таблицю Ручки")</f>
        <v>див. Таблицю Ручки</v>
      </c>
      <c r="F1468" s="26"/>
      <c r="G1468" s="26"/>
      <c r="AC1468" s="288"/>
      <c r="AD1468" s="288"/>
      <c r="AE1468" s="288"/>
      <c r="AF1468" s="288"/>
      <c r="AG1468" s="288"/>
      <c r="AH1468" s="288"/>
      <c r="AI1468" s="288"/>
      <c r="AJ1468" s="288"/>
      <c r="AK1468" s="288"/>
      <c r="AL1468" s="288"/>
    </row>
    <row r="1469" spans="2:38" ht="14.25" customHeight="1">
      <c r="C1469" s="244"/>
      <c r="D1469" s="26"/>
      <c r="E1469" s="26"/>
      <c r="F1469" s="26"/>
      <c r="G1469" s="26"/>
      <c r="H1469" s="5"/>
      <c r="U1469" s="536" t="str">
        <f>IF($C$1="ENG",CONCATENATE("down to: ",B1519),CONCATENATE("вниз до: ",B1519))</f>
        <v>вниз до: Полотна збірні: ЄВА</v>
      </c>
      <c r="V1469" s="536"/>
      <c r="W1469" s="536"/>
      <c r="X1469" s="303"/>
      <c r="Y1469" s="303"/>
      <c r="Z1469" s="303"/>
      <c r="AA1469" s="303"/>
      <c r="AB1469" s="303"/>
    </row>
    <row r="1470" spans="2:38" ht="14.25" customHeight="1">
      <c r="C1470" s="244"/>
      <c r="D1470" s="26"/>
      <c r="E1470" s="26"/>
      <c r="F1470" s="26"/>
      <c r="G1470" s="26"/>
      <c r="H1470" s="5"/>
    </row>
    <row r="1471" spans="2:38" ht="14.25" customHeight="1">
      <c r="C1471" s="244"/>
      <c r="D1471" s="26"/>
      <c r="E1471" s="26"/>
      <c r="F1471" s="26"/>
      <c r="G1471" s="26"/>
      <c r="H1471" s="5"/>
    </row>
    <row r="1472" spans="2:38" ht="14.25" customHeight="1">
      <c r="C1472" s="244"/>
      <c r="D1472" s="26"/>
      <c r="E1472" s="26"/>
      <c r="F1472" s="26"/>
      <c r="G1472" s="26"/>
      <c r="H1472" s="5"/>
    </row>
    <row r="1473" spans="3:8" ht="14.25" customHeight="1">
      <c r="C1473" s="244"/>
      <c r="D1473" s="26"/>
      <c r="E1473" s="26"/>
      <c r="F1473" s="26"/>
      <c r="G1473" s="26"/>
      <c r="H1473" s="5"/>
    </row>
    <row r="1474" spans="3:8" ht="14.25" customHeight="1">
      <c r="C1474" s="244"/>
      <c r="D1474" s="26"/>
      <c r="E1474" s="26"/>
      <c r="F1474" s="26"/>
      <c r="G1474" s="26"/>
      <c r="H1474" s="5"/>
    </row>
    <row r="1475" spans="3:8" ht="14.25" customHeight="1">
      <c r="C1475" s="244"/>
      <c r="D1475" s="26"/>
      <c r="E1475" s="26"/>
      <c r="F1475" s="26"/>
      <c r="G1475" s="26"/>
      <c r="H1475" s="5"/>
    </row>
    <row r="1476" spans="3:8" ht="14.25" customHeight="1">
      <c r="C1476" s="244"/>
      <c r="D1476" s="26"/>
      <c r="E1476" s="26"/>
      <c r="F1476" s="26"/>
      <c r="G1476" s="26"/>
      <c r="H1476" s="5"/>
    </row>
    <row r="1477" spans="3:8" ht="14.25" customHeight="1">
      <c r="C1477" s="244"/>
      <c r="D1477" s="26"/>
      <c r="E1477" s="26"/>
      <c r="F1477" s="26"/>
      <c r="G1477" s="26"/>
      <c r="H1477" s="5"/>
    </row>
    <row r="1478" spans="3:8" ht="14.25" customHeight="1">
      <c r="C1478" s="244"/>
      <c r="D1478" s="26"/>
      <c r="E1478" s="26"/>
      <c r="F1478" s="26"/>
      <c r="G1478" s="26"/>
      <c r="H1478" s="5"/>
    </row>
    <row r="1479" spans="3:8" ht="14.25" customHeight="1">
      <c r="C1479" s="244"/>
      <c r="D1479" s="26"/>
      <c r="E1479" s="26"/>
      <c r="F1479" s="26"/>
      <c r="G1479" s="26"/>
      <c r="H1479" s="5"/>
    </row>
    <row r="1480" spans="3:8" ht="14.25" customHeight="1">
      <c r="C1480" s="244"/>
      <c r="D1480" s="26"/>
      <c r="E1480" s="26"/>
      <c r="F1480" s="26"/>
      <c r="G1480" s="26"/>
      <c r="H1480" s="5"/>
    </row>
    <row r="1481" spans="3:8" ht="14.25" customHeight="1">
      <c r="C1481" s="244"/>
      <c r="D1481" s="26"/>
      <c r="E1481" s="26"/>
      <c r="F1481" s="26"/>
      <c r="G1481" s="26"/>
      <c r="H1481" s="5"/>
    </row>
    <row r="1482" spans="3:8" ht="14.25" customHeight="1">
      <c r="C1482" s="244"/>
      <c r="D1482" s="26"/>
      <c r="E1482" s="26"/>
      <c r="F1482" s="26"/>
      <c r="G1482" s="26"/>
      <c r="H1482" s="5"/>
    </row>
    <row r="1483" spans="3:8" ht="14.25" customHeight="1">
      <c r="C1483" s="244"/>
      <c r="D1483" s="26"/>
      <c r="E1483" s="26"/>
      <c r="F1483" s="26"/>
      <c r="G1483" s="26"/>
      <c r="H1483" s="5"/>
    </row>
    <row r="1484" spans="3:8" ht="14.25" customHeight="1">
      <c r="C1484" s="244"/>
      <c r="D1484" s="26"/>
      <c r="E1484" s="26"/>
      <c r="F1484" s="26"/>
      <c r="G1484" s="26"/>
      <c r="H1484" s="5"/>
    </row>
    <row r="1485" spans="3:8" ht="14.25" customHeight="1">
      <c r="C1485" s="244"/>
      <c r="D1485" s="26"/>
      <c r="E1485" s="26"/>
      <c r="F1485" s="26"/>
      <c r="G1485" s="26"/>
      <c r="H1485" s="5"/>
    </row>
    <row r="1486" spans="3:8" ht="14.25" customHeight="1">
      <c r="C1486" s="244"/>
      <c r="D1486" s="26"/>
      <c r="E1486" s="26"/>
      <c r="F1486" s="26"/>
      <c r="G1486" s="26"/>
      <c r="H1486" s="5"/>
    </row>
    <row r="1487" spans="3:8" ht="14.25" customHeight="1">
      <c r="C1487" s="244"/>
      <c r="D1487" s="26"/>
      <c r="E1487" s="26"/>
      <c r="F1487" s="26"/>
      <c r="G1487" s="26"/>
      <c r="H1487" s="5"/>
    </row>
    <row r="1488" spans="3:8" ht="14.25" customHeight="1">
      <c r="C1488" s="244"/>
      <c r="D1488" s="26"/>
      <c r="E1488" s="26"/>
      <c r="F1488" s="26"/>
      <c r="G1488" s="26"/>
      <c r="H1488" s="5"/>
    </row>
    <row r="1489" spans="3:8" ht="14.25" customHeight="1">
      <c r="C1489" s="244"/>
      <c r="D1489" s="26"/>
      <c r="E1489" s="26"/>
      <c r="F1489" s="26"/>
      <c r="G1489" s="26"/>
      <c r="H1489" s="5"/>
    </row>
    <row r="1490" spans="3:8" ht="14.25" customHeight="1">
      <c r="C1490" s="244"/>
      <c r="D1490" s="26"/>
      <c r="E1490" s="26"/>
      <c r="F1490" s="26"/>
      <c r="G1490" s="26"/>
      <c r="H1490" s="5"/>
    </row>
    <row r="1491" spans="3:8" ht="14.25" customHeight="1">
      <c r="C1491" s="244"/>
      <c r="D1491" s="26"/>
      <c r="E1491" s="26"/>
      <c r="F1491" s="26"/>
      <c r="G1491" s="26"/>
      <c r="H1491" s="5"/>
    </row>
    <row r="1492" spans="3:8" ht="14.25" customHeight="1">
      <c r="C1492" s="244"/>
      <c r="D1492" s="26"/>
      <c r="E1492" s="26"/>
      <c r="F1492" s="26"/>
      <c r="G1492" s="26"/>
      <c r="H1492" s="5"/>
    </row>
    <row r="1493" spans="3:8" ht="14.25" customHeight="1">
      <c r="C1493" s="244"/>
      <c r="D1493" s="26"/>
      <c r="E1493" s="26"/>
      <c r="F1493" s="26"/>
      <c r="G1493" s="26"/>
      <c r="H1493" s="5"/>
    </row>
    <row r="1494" spans="3:8" ht="14.25" customHeight="1">
      <c r="C1494" s="244"/>
      <c r="D1494" s="26"/>
      <c r="E1494" s="26"/>
      <c r="F1494" s="26"/>
      <c r="G1494" s="26"/>
      <c r="H1494" s="5"/>
    </row>
    <row r="1495" spans="3:8" ht="14.25" customHeight="1">
      <c r="C1495" s="244"/>
      <c r="D1495" s="26"/>
      <c r="E1495" s="26"/>
      <c r="F1495" s="26"/>
      <c r="G1495" s="26"/>
      <c r="H1495" s="5"/>
    </row>
    <row r="1496" spans="3:8" ht="14.25" customHeight="1">
      <c r="C1496" s="244"/>
      <c r="D1496" s="26"/>
      <c r="E1496" s="26"/>
      <c r="F1496" s="26"/>
      <c r="G1496" s="26"/>
      <c r="H1496" s="5"/>
    </row>
    <row r="1497" spans="3:8" ht="14.25" customHeight="1">
      <c r="C1497" s="244"/>
      <c r="D1497" s="26"/>
      <c r="E1497" s="26"/>
      <c r="F1497" s="26"/>
      <c r="G1497" s="26"/>
      <c r="H1497" s="5"/>
    </row>
    <row r="1498" spans="3:8" ht="14.25" customHeight="1">
      <c r="C1498" s="244"/>
      <c r="D1498" s="26"/>
      <c r="E1498" s="26"/>
      <c r="F1498" s="26"/>
      <c r="G1498" s="26"/>
      <c r="H1498" s="5"/>
    </row>
    <row r="1499" spans="3:8" ht="14.25" customHeight="1">
      <c r="C1499" s="244"/>
      <c r="D1499" s="26"/>
      <c r="E1499" s="26"/>
      <c r="F1499" s="26"/>
      <c r="G1499" s="26"/>
      <c r="H1499" s="5"/>
    </row>
    <row r="1500" spans="3:8" ht="14.25" customHeight="1">
      <c r="C1500" s="244"/>
      <c r="D1500" s="26"/>
      <c r="E1500" s="26"/>
      <c r="F1500" s="26"/>
      <c r="G1500" s="26"/>
      <c r="H1500" s="5"/>
    </row>
    <row r="1501" spans="3:8" ht="14.25" customHeight="1">
      <c r="C1501" s="244"/>
      <c r="D1501" s="26"/>
      <c r="E1501" s="26"/>
      <c r="F1501" s="26"/>
      <c r="G1501" s="26"/>
      <c r="H1501" s="5"/>
    </row>
    <row r="1502" spans="3:8" ht="14.25" customHeight="1">
      <c r="C1502" s="244"/>
      <c r="D1502" s="26"/>
      <c r="E1502" s="26"/>
      <c r="F1502" s="26"/>
      <c r="G1502" s="26"/>
      <c r="H1502" s="5"/>
    </row>
    <row r="1503" spans="3:8" ht="14.25" customHeight="1">
      <c r="C1503" s="244"/>
      <c r="D1503" s="26"/>
      <c r="E1503" s="26"/>
      <c r="F1503" s="26"/>
      <c r="G1503" s="26"/>
      <c r="H1503" s="5"/>
    </row>
    <row r="1504" spans="3:8" ht="14.25" customHeight="1">
      <c r="C1504" s="244"/>
      <c r="D1504" s="26"/>
      <c r="E1504" s="26"/>
      <c r="F1504" s="26"/>
      <c r="G1504" s="26"/>
      <c r="H1504" s="5"/>
    </row>
    <row r="1505" spans="2:46" ht="14.25" customHeight="1">
      <c r="C1505" s="244"/>
      <c r="D1505" s="26"/>
      <c r="E1505" s="26"/>
      <c r="F1505" s="26"/>
      <c r="G1505" s="26"/>
      <c r="H1505" s="5"/>
    </row>
    <row r="1506" spans="2:46" ht="14.25" customHeight="1">
      <c r="C1506" s="244"/>
      <c r="D1506" s="26"/>
      <c r="E1506" s="26"/>
      <c r="F1506" s="26"/>
      <c r="G1506" s="26"/>
      <c r="H1506" s="5"/>
    </row>
    <row r="1507" spans="2:46" ht="14.25" customHeight="1">
      <c r="C1507" s="244"/>
      <c r="D1507" s="26"/>
      <c r="E1507" s="26"/>
      <c r="F1507" s="26"/>
      <c r="G1507" s="26"/>
      <c r="H1507" s="5"/>
    </row>
    <row r="1508" spans="2:46" ht="14.25" customHeight="1">
      <c r="C1508" s="244"/>
      <c r="D1508" s="26"/>
      <c r="E1508" s="26"/>
      <c r="F1508" s="26"/>
      <c r="G1508" s="26"/>
      <c r="H1508" s="5"/>
    </row>
    <row r="1509" spans="2:46" ht="14.25" customHeight="1">
      <c r="C1509" s="244"/>
      <c r="D1509" s="26"/>
      <c r="E1509" s="26"/>
      <c r="F1509" s="26"/>
      <c r="G1509" s="26"/>
      <c r="H1509" s="5"/>
    </row>
    <row r="1510" spans="2:46" ht="14.25" customHeight="1">
      <c r="C1510" s="244"/>
      <c r="D1510" s="26"/>
      <c r="E1510" s="26"/>
      <c r="F1510" s="26"/>
      <c r="G1510" s="26"/>
      <c r="H1510" s="5"/>
    </row>
    <row r="1511" spans="2:46" ht="14.25" customHeight="1">
      <c r="C1511" s="244"/>
      <c r="D1511" s="26"/>
      <c r="E1511" s="26"/>
      <c r="F1511" s="26"/>
      <c r="G1511" s="26"/>
      <c r="H1511" s="5"/>
    </row>
    <row r="1512" spans="2:46" ht="14.25" customHeight="1">
      <c r="C1512" s="244"/>
      <c r="D1512" s="26"/>
      <c r="E1512" s="26"/>
      <c r="F1512" s="26"/>
      <c r="G1512" s="26"/>
      <c r="H1512" s="5"/>
    </row>
    <row r="1513" spans="2:46" ht="14.25" customHeight="1">
      <c r="C1513" s="244"/>
      <c r="D1513" s="26"/>
      <c r="E1513" s="26"/>
      <c r="F1513" s="26"/>
      <c r="G1513" s="26"/>
      <c r="H1513" s="5"/>
    </row>
    <row r="1514" spans="2:46" ht="14.25" customHeight="1">
      <c r="C1514" s="244"/>
      <c r="D1514" s="26"/>
      <c r="E1514" s="26"/>
      <c r="F1514" s="26"/>
      <c r="G1514" s="26"/>
      <c r="H1514" s="5"/>
      <c r="AG1514" s="288">
        <f>AB1514/100*12+AB1514</f>
        <v>0</v>
      </c>
      <c r="AH1514" s="288" t="e">
        <f>AG1514/AB1514-1</f>
        <v>#DIV/0!</v>
      </c>
    </row>
    <row r="1515" spans="2:46" ht="14.25" customHeight="1">
      <c r="C1515" s="244"/>
      <c r="D1515" s="26"/>
      <c r="E1515" s="26"/>
      <c r="F1515" s="26"/>
      <c r="G1515" s="26"/>
      <c r="H1515" s="5"/>
    </row>
    <row r="1516" spans="2:46" ht="14.25" customHeight="1">
      <c r="C1516" s="244"/>
      <c r="D1516" s="26"/>
      <c r="E1516" s="26"/>
      <c r="F1516" s="26"/>
      <c r="G1516" s="26"/>
      <c r="H1516" s="5"/>
    </row>
    <row r="1517" spans="2:46" ht="14.25" customHeight="1">
      <c r="C1517" s="244"/>
      <c r="D1517" s="26"/>
      <c r="E1517" s="26"/>
      <c r="F1517" s="26"/>
      <c r="G1517" s="26"/>
      <c r="H1517" s="5"/>
    </row>
    <row r="1518" spans="2:46" ht="14.25" customHeight="1">
      <c r="C1518" s="244"/>
      <c r="D1518" s="26"/>
      <c r="E1518" s="26"/>
      <c r="F1518" s="26"/>
      <c r="G1518" s="26"/>
      <c r="H1518" s="5"/>
    </row>
    <row r="1519" spans="2:46" s="8" customFormat="1">
      <c r="B1519" s="550" t="str">
        <f>TITLE!C28</f>
        <v>Полотна збірні: ЄВА</v>
      </c>
      <c r="C1519" s="550"/>
      <c r="D1519" s="117"/>
      <c r="E1519" s="117"/>
      <c r="F1519" s="117"/>
      <c r="G1519" s="117"/>
      <c r="H1519" s="552"/>
      <c r="I1519" s="552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544" t="str">
        <f>IF($C$1="ENG",CONCATENATE("up to: ",B1446),CONCATENATE("вгору до: ",B1446))</f>
        <v>вгору до: Полотна збірні: ТІАНА</v>
      </c>
      <c r="U1519" s="544"/>
      <c r="V1519" s="544"/>
      <c r="W1519" s="544"/>
      <c r="AN1519" s="279"/>
      <c r="AO1519" s="279"/>
      <c r="AP1519" s="279"/>
      <c r="AQ1519" s="279"/>
      <c r="AR1519" s="279"/>
      <c r="AS1519" s="279"/>
      <c r="AT1519" s="279"/>
    </row>
    <row r="1520" spans="2:46" s="8" customFormat="1" ht="5.0999999999999996" customHeight="1">
      <c r="B1520" s="116"/>
      <c r="C1520" s="418"/>
      <c r="D1520" s="9"/>
      <c r="E1520" s="9"/>
      <c r="F1520" s="9"/>
      <c r="G1520" s="9"/>
      <c r="H1520" s="119"/>
      <c r="I1520" s="119"/>
      <c r="T1520" s="114"/>
      <c r="U1520" s="114"/>
      <c r="V1520" s="114"/>
      <c r="W1520" s="114"/>
      <c r="AN1520" s="279"/>
      <c r="AO1520" s="279"/>
      <c r="AP1520" s="279"/>
      <c r="AQ1520" s="279"/>
      <c r="AR1520" s="279"/>
      <c r="AS1520" s="279"/>
      <c r="AT1520" s="279"/>
    </row>
    <row r="1521" spans="1:46" s="8" customFormat="1" ht="12.75" customHeight="1">
      <c r="B1521" s="556" t="str">
        <f>IF($C$1="ENG","model","модель")</f>
        <v>модель</v>
      </c>
      <c r="C1521" s="121" t="str">
        <f>IF($C$1="ENG","cover:","покриття:")</f>
        <v>покриття:</v>
      </c>
      <c r="D1521" s="538" t="str">
        <f>IF($C$1="ENG","Verto-CELL","Verto-CELL")</f>
        <v>Verto-CELL</v>
      </c>
      <c r="E1521" s="539"/>
      <c r="F1521" s="538" t="str">
        <f>IF($C$1="ENG","UNI-MAT","UNI-MAT")</f>
        <v>UNI-MAT</v>
      </c>
      <c r="G1521" s="539"/>
      <c r="H1521" s="538" t="str">
        <f>IF($C$1="ENG","RESIST","RESIST")</f>
        <v>RESIST</v>
      </c>
      <c r="I1521" s="539"/>
      <c r="J1521" s="538" t="str">
        <f>IF($C$1="ENG","Verto LINE-3D","Verto LINE-3D")</f>
        <v>Verto LINE-3D</v>
      </c>
      <c r="K1521" s="539"/>
      <c r="L1521" s="538" t="str">
        <f>IF($C$1="ENG","ECO Shpon","ЕКО Шпон")</f>
        <v>ЕКО Шпон</v>
      </c>
      <c r="M1521" s="539"/>
      <c r="P1521" s="1"/>
      <c r="Q1521" s="1"/>
      <c r="T1521" s="114"/>
      <c r="U1521" s="114"/>
      <c r="V1521" s="114"/>
      <c r="W1521" s="114"/>
      <c r="AN1521" s="279"/>
      <c r="AO1521" s="279"/>
      <c r="AP1521" s="279"/>
      <c r="AQ1521" s="279"/>
      <c r="AR1521" s="279"/>
      <c r="AS1521" s="279"/>
      <c r="AT1521" s="279"/>
    </row>
    <row r="1522" spans="1:46" s="8" customFormat="1" ht="24" customHeight="1">
      <c r="B1522" s="557"/>
      <c r="C1522" s="122" t="str">
        <f>IF($C$1="ENG","filling:","заповнення:")</f>
        <v>заповнення:</v>
      </c>
      <c r="D1522" s="540" t="str">
        <f>IF($C$1="ENG","softwood","клеєний сосновий брус")</f>
        <v>клеєний сосновий брус</v>
      </c>
      <c r="E1522" s="541"/>
      <c r="F1522" s="540" t="str">
        <f>IF($C$1="ENG","softwood","клеєний сосновий брус")</f>
        <v>клеєний сосновий брус</v>
      </c>
      <c r="G1522" s="541"/>
      <c r="H1522" s="540" t="str">
        <f>IF($C$1="ENG","softwood","клеєний сосновий брус")</f>
        <v>клеєний сосновий брус</v>
      </c>
      <c r="I1522" s="541"/>
      <c r="J1522" s="540" t="str">
        <f>IF($C$1="ENG","softwood","клеєний сосновий брус")</f>
        <v>клеєний сосновий брус</v>
      </c>
      <c r="K1522" s="541"/>
      <c r="L1522" s="540" t="str">
        <f>IF($C$1="ENG","softwood","клеєний сосновий брус")</f>
        <v>клеєний сосновий брус</v>
      </c>
      <c r="M1522" s="541"/>
      <c r="P1522" s="1"/>
      <c r="Q1522" s="1"/>
      <c r="T1522" s="114"/>
      <c r="U1522" s="114"/>
      <c r="V1522" s="114"/>
      <c r="W1522" s="114"/>
      <c r="AD1522" s="381">
        <f>AD1524/AC1524-1</f>
        <v>0.13945578231292521</v>
      </c>
      <c r="AE1522" s="381">
        <f>AE1524/AD1524-1</f>
        <v>4.6268656716417889E-2</v>
      </c>
      <c r="AF1522" s="381">
        <f>AF1524/AE1524-1</f>
        <v>9.5577746077032844E-2</v>
      </c>
      <c r="AG1522" s="381">
        <f>AG1524/AF1524-1</f>
        <v>4.8177083333333259E-2</v>
      </c>
      <c r="AH1522" s="8">
        <v>5250</v>
      </c>
      <c r="AI1522" s="8">
        <v>6260</v>
      </c>
      <c r="AJ1522" s="8">
        <v>6860</v>
      </c>
      <c r="AK1522" s="8">
        <v>7190</v>
      </c>
      <c r="AN1522" s="279"/>
      <c r="AO1522" s="279"/>
      <c r="AP1522" s="279"/>
      <c r="AQ1522" s="279"/>
      <c r="AR1522" s="279"/>
      <c r="AS1522" s="279"/>
      <c r="AT1522" s="279"/>
    </row>
    <row r="1523" spans="1:46" ht="12.75" customHeight="1">
      <c r="A1523" s="8"/>
      <c r="B1523" s="558"/>
      <c r="C1523" s="123" t="str">
        <f>IF($C$1="ENG","glazing:","скління:")</f>
        <v>скління:</v>
      </c>
      <c r="D1523" s="542" t="str">
        <f>IF($C$1="ENG","Satin","Сатин")</f>
        <v>Сатин</v>
      </c>
      <c r="E1523" s="543"/>
      <c r="F1523" s="542" t="str">
        <f>IF($C$1="ENG","Satin","Сатин")</f>
        <v>Сатин</v>
      </c>
      <c r="G1523" s="543"/>
      <c r="H1523" s="542" t="str">
        <f>IF($C$1="ENG","Satin","Сатин")</f>
        <v>Сатин</v>
      </c>
      <c r="I1523" s="543"/>
      <c r="J1523" s="542" t="str">
        <f>IF($C$1="ENG","Satin","Сатин")</f>
        <v>Сатин</v>
      </c>
      <c r="K1523" s="543"/>
      <c r="L1523" s="542" t="str">
        <f>IF($C$1="ENG","Satin","Сатин")</f>
        <v>Сатин</v>
      </c>
      <c r="M1523" s="543"/>
    </row>
    <row r="1524" spans="1:46" ht="35.1" customHeight="1">
      <c r="A1524" s="8"/>
      <c r="B1524" s="16" t="s">
        <v>25</v>
      </c>
      <c r="C1524" s="17"/>
      <c r="D1524" s="18">
        <f>IF(AC1524="","",(1-$W$2)*(AC1524/1.2))</f>
        <v>4900</v>
      </c>
      <c r="E1524" s="66">
        <f>IF($W$5=0.2,D1524*1.2,D1524)/$W$4</f>
        <v>5880</v>
      </c>
      <c r="F1524" s="18">
        <f>IF(AD1524="","",(1-$W$2)*(AD1524/1.2))</f>
        <v>5583.3333333333339</v>
      </c>
      <c r="G1524" s="66">
        <f>IF($W$5=0.2,F1524*1.2,F1524)/$W$4</f>
        <v>6700.0000000000009</v>
      </c>
      <c r="H1524" s="18">
        <f>IF(AE1524="","",(1-$W$2)*(AE1524/1.2))</f>
        <v>5841.666666666667</v>
      </c>
      <c r="I1524" s="66">
        <f>IF($W$5=0.2,H1524*1.2,H1524)/$W$4</f>
        <v>7010</v>
      </c>
      <c r="J1524" s="18">
        <f>IF(AF1524="","",(1-$W$2)*(AF1524/1.2))</f>
        <v>6400</v>
      </c>
      <c r="K1524" s="66">
        <f>IF($W$5=0.2,J1524*1.2,J1524)/$W$4</f>
        <v>7680</v>
      </c>
      <c r="L1524" s="18">
        <f>IF(AG1524="","",(1-$W$2)*(AG1524/1.2))</f>
        <v>6708.3333333333339</v>
      </c>
      <c r="M1524" s="66">
        <f>IF($W$5=0.2,L1524*1.2,L1524)/$W$4</f>
        <v>8050</v>
      </c>
      <c r="N1524" s="103"/>
      <c r="R1524" s="103"/>
      <c r="T1524" s="103"/>
      <c r="U1524" s="20"/>
      <c r="V1524" s="103"/>
      <c r="W1524" s="20"/>
      <c r="X1524" s="103"/>
      <c r="Y1524" s="103"/>
      <c r="Z1524" s="103"/>
      <c r="AA1524" s="103"/>
      <c r="AB1524" s="103"/>
      <c r="AC1524" s="331">
        <v>5880</v>
      </c>
      <c r="AD1524" s="389">
        <v>6700</v>
      </c>
      <c r="AE1524" s="331">
        <v>7010</v>
      </c>
      <c r="AF1524" s="331">
        <v>7680</v>
      </c>
      <c r="AG1524" s="331">
        <v>8050</v>
      </c>
      <c r="AH1524" s="288">
        <v>5880</v>
      </c>
      <c r="AI1524" s="288">
        <f>AH1524/AC1524-1</f>
        <v>0</v>
      </c>
      <c r="AJ1524" s="288">
        <v>6700</v>
      </c>
      <c r="AK1524" s="288">
        <f>AJ1524/AD1524-1</f>
        <v>0</v>
      </c>
      <c r="AL1524" s="288">
        <v>7010</v>
      </c>
      <c r="AM1524" s="288">
        <f>AL1524/AE1524-1</f>
        <v>0</v>
      </c>
      <c r="AN1524" s="288">
        <v>7680</v>
      </c>
      <c r="AO1524" s="288">
        <f>AN1524/AF1524-1</f>
        <v>0</v>
      </c>
      <c r="AP1524" s="288">
        <v>8050</v>
      </c>
      <c r="AQ1524" s="288">
        <f>AP1524/AG1524-1</f>
        <v>0</v>
      </c>
    </row>
    <row r="1525" spans="1:46" ht="35.1" customHeight="1">
      <c r="A1525" s="8"/>
      <c r="B1525" s="106" t="s">
        <v>20</v>
      </c>
      <c r="C1525" s="321"/>
      <c r="D1525" s="18">
        <f>IF(AC1525="","",(1-$W$2)*(AC1525/1.2))</f>
        <v>4900</v>
      </c>
      <c r="E1525" s="66">
        <f>IF($W$5=0.2,D1525*1.2,D1525)/$W$4</f>
        <v>5880</v>
      </c>
      <c r="F1525" s="18">
        <f>IF(AD1525="","",(1-$W$2)*(AD1525/1.2))</f>
        <v>5583.3333333333339</v>
      </c>
      <c r="G1525" s="66">
        <f>IF($W$5=0.2,F1525*1.2,F1525)/$W$4</f>
        <v>6700.0000000000009</v>
      </c>
      <c r="H1525" s="18">
        <f>IF(AE1525="","",(1-$W$2)*(AE1525/1.2))</f>
        <v>5841.666666666667</v>
      </c>
      <c r="I1525" s="66">
        <f>IF($W$5=0.2,H1525*1.2,H1525)/$W$4</f>
        <v>7010</v>
      </c>
      <c r="J1525" s="18">
        <f>IF(AF1525="","",(1-$W$2)*(AF1525/1.2))</f>
        <v>6400</v>
      </c>
      <c r="K1525" s="66">
        <f>IF($W$5=0.2,J1525*1.2,J1525)/$W$4</f>
        <v>7680</v>
      </c>
      <c r="L1525" s="18">
        <f>IF(AG1525="","",(1-$W$2)*(AG1525/1.2))</f>
        <v>6708.3333333333339</v>
      </c>
      <c r="M1525" s="66">
        <f>IF($W$5=0.2,L1525*1.2,L1525)/$W$4</f>
        <v>8050</v>
      </c>
      <c r="N1525" s="103"/>
      <c r="R1525" s="103"/>
      <c r="T1525" s="103"/>
      <c r="U1525" s="20"/>
      <c r="V1525" s="103"/>
      <c r="W1525" s="20"/>
      <c r="X1525" s="103"/>
      <c r="Y1525" s="103"/>
      <c r="Z1525" s="103"/>
      <c r="AA1525" s="103"/>
      <c r="AB1525" s="103"/>
      <c r="AC1525" s="331">
        <v>5880</v>
      </c>
      <c r="AD1525" s="389">
        <v>6700</v>
      </c>
      <c r="AE1525" s="331">
        <v>7010</v>
      </c>
      <c r="AF1525" s="331">
        <v>7680</v>
      </c>
      <c r="AG1525" s="331">
        <v>8050</v>
      </c>
      <c r="AH1525" s="288">
        <v>5880</v>
      </c>
      <c r="AI1525" s="288">
        <f t="shared" ref="AI1525:AI1526" si="210">AH1525/AC1525-1</f>
        <v>0</v>
      </c>
      <c r="AJ1525" s="288">
        <v>6700</v>
      </c>
      <c r="AK1525" s="288">
        <f t="shared" ref="AK1525:AK1526" si="211">AJ1525/AD1525-1</f>
        <v>0</v>
      </c>
      <c r="AL1525" s="288">
        <v>7010</v>
      </c>
      <c r="AM1525" s="288">
        <f t="shared" ref="AM1525:AM1526" si="212">AL1525/AE1525-1</f>
        <v>0</v>
      </c>
      <c r="AN1525" s="288">
        <v>7680</v>
      </c>
      <c r="AO1525" s="288">
        <f t="shared" ref="AO1525:AO1526" si="213">AN1525/AF1525-1</f>
        <v>0</v>
      </c>
      <c r="AP1525" s="288">
        <v>8050</v>
      </c>
      <c r="AQ1525" s="288">
        <f t="shared" ref="AQ1525:AQ1526" si="214">AP1525/AG1525-1</f>
        <v>0</v>
      </c>
    </row>
    <row r="1526" spans="1:46" ht="35.1" customHeight="1">
      <c r="A1526" s="8"/>
      <c r="B1526" s="23" t="s">
        <v>42</v>
      </c>
      <c r="C1526" s="24"/>
      <c r="D1526" s="25">
        <f>IF(AC1526="","",(1-$W$2)*(AC1526/1.2))</f>
        <v>4900</v>
      </c>
      <c r="E1526" s="69">
        <f>IF($W$5=0.2,D1526*1.2,D1526)/$W$4</f>
        <v>5880</v>
      </c>
      <c r="F1526" s="25">
        <f>IF(AD1526="","",(1-$W$2)*(AD1526/1.2))</f>
        <v>5583.3333333333339</v>
      </c>
      <c r="G1526" s="69">
        <f>IF($W$5=0.2,F1526*1.2,F1526)/$W$4</f>
        <v>6700.0000000000009</v>
      </c>
      <c r="H1526" s="25">
        <f>IF(AE1526="","",(1-$W$2)*(AE1526/1.2))</f>
        <v>5841.666666666667</v>
      </c>
      <c r="I1526" s="69">
        <f>IF($W$5=0.2,H1526*1.2,H1526)/$W$4</f>
        <v>7010</v>
      </c>
      <c r="J1526" s="25">
        <f>IF(AF1526="","",(1-$W$2)*(AF1526/1.2))</f>
        <v>6400</v>
      </c>
      <c r="K1526" s="69">
        <f>IF($W$5=0.2,J1526*1.2,J1526)/$W$4</f>
        <v>7680</v>
      </c>
      <c r="L1526" s="25">
        <f>IF(AG1526="","",(1-$W$2)*(AG1526/1.2))</f>
        <v>6708.3333333333339</v>
      </c>
      <c r="M1526" s="69">
        <f>IF($W$5=0.2,L1526*1.2,L1526)/$W$4</f>
        <v>8050</v>
      </c>
      <c r="N1526" s="103"/>
      <c r="R1526" s="103"/>
      <c r="T1526" s="103"/>
      <c r="U1526" s="20"/>
      <c r="V1526" s="103"/>
      <c r="W1526" s="20"/>
      <c r="X1526" s="103"/>
      <c r="Y1526" s="103"/>
      <c r="Z1526" s="103"/>
      <c r="AA1526" s="103"/>
      <c r="AB1526" s="103"/>
      <c r="AC1526" s="331">
        <v>5880</v>
      </c>
      <c r="AD1526" s="389">
        <v>6700</v>
      </c>
      <c r="AE1526" s="331">
        <v>7010</v>
      </c>
      <c r="AF1526" s="331">
        <v>7680</v>
      </c>
      <c r="AG1526" s="331">
        <v>8050</v>
      </c>
      <c r="AH1526" s="288">
        <v>5880</v>
      </c>
      <c r="AI1526" s="288">
        <f t="shared" si="210"/>
        <v>0</v>
      </c>
      <c r="AJ1526" s="288">
        <v>6700</v>
      </c>
      <c r="AK1526" s="288">
        <f t="shared" si="211"/>
        <v>0</v>
      </c>
      <c r="AL1526" s="288">
        <v>7010</v>
      </c>
      <c r="AM1526" s="288">
        <f t="shared" si="212"/>
        <v>0</v>
      </c>
      <c r="AN1526" s="288">
        <v>7680</v>
      </c>
      <c r="AO1526" s="288">
        <f t="shared" si="213"/>
        <v>0</v>
      </c>
      <c r="AP1526" s="288">
        <v>8050</v>
      </c>
      <c r="AQ1526" s="288">
        <f t="shared" si="214"/>
        <v>0</v>
      </c>
    </row>
    <row r="1527" spans="1:46">
      <c r="C1527" s="244"/>
      <c r="D1527" s="26"/>
      <c r="E1527" s="57"/>
      <c r="F1527" s="26"/>
      <c r="G1527" s="57"/>
      <c r="H1527" s="10"/>
      <c r="I1527" s="8"/>
      <c r="J1527" s="8"/>
      <c r="K1527" s="8"/>
    </row>
    <row r="1528" spans="1:46">
      <c r="B1528" s="211" t="str">
        <f>IF($C$1="ENG","For additonal charge:","Послуги за додаткову плату:")</f>
        <v>Послуги за додаткову плату:</v>
      </c>
      <c r="C1528" s="419"/>
      <c r="D1528" s="212"/>
      <c r="E1528" s="213"/>
      <c r="F1528" s="26"/>
      <c r="G1528" s="57"/>
      <c r="H1528" s="10"/>
      <c r="I1528" s="8"/>
      <c r="J1528" s="8"/>
      <c r="K1528" s="8"/>
    </row>
    <row r="1529" spans="1:46" ht="5.0999999999999996" customHeight="1">
      <c r="B1529" s="27"/>
      <c r="C1529" s="244"/>
      <c r="D1529" s="26"/>
      <c r="E1529" s="57"/>
      <c r="F1529" s="26"/>
      <c r="G1529" s="57"/>
      <c r="H1529" s="10"/>
      <c r="I1529" s="8"/>
      <c r="J1529" s="8"/>
      <c r="K1529" s="8"/>
    </row>
    <row r="1530" spans="1:46">
      <c r="B1530" s="561" t="str">
        <f>IF($C$1="ENG","door leaf with width 100","полотно розміром 100")</f>
        <v>полотно розміром 100</v>
      </c>
      <c r="C1530" s="562"/>
      <c r="D1530" s="131">
        <f t="shared" ref="D1530:D1542" si="215">IF(AC1530="","",(1-$W$2)*(AC1530/1.2))</f>
        <v>600</v>
      </c>
      <c r="E1530" s="91">
        <f t="shared" ref="E1530:E1541" si="216">IF($W$5=0.2,D1530*1.2,D1530)/$W$4</f>
        <v>720</v>
      </c>
      <c r="F1530" s="26"/>
      <c r="G1530" s="26"/>
      <c r="H1530" s="10"/>
      <c r="I1530" s="8"/>
      <c r="J1530" s="8"/>
      <c r="K1530" s="8"/>
      <c r="AC1530" s="288">
        <v>720</v>
      </c>
      <c r="AD1530" s="288">
        <v>720</v>
      </c>
      <c r="AE1530" s="288"/>
      <c r="AF1530" s="288"/>
      <c r="AG1530" s="288"/>
      <c r="AH1530" s="288"/>
      <c r="AI1530" s="288"/>
      <c r="AJ1530" s="288"/>
      <c r="AK1530" s="288"/>
      <c r="AL1530" s="288"/>
    </row>
    <row r="1531" spans="1:46">
      <c r="B1531" s="561" t="str">
        <f>IF($C$1="ENG","Ventilation cut","вентиляційний підріз")</f>
        <v>вентиляційний підріз</v>
      </c>
      <c r="C1531" s="562"/>
      <c r="D1531" s="132">
        <f t="shared" si="215"/>
        <v>141.66666666666669</v>
      </c>
      <c r="E1531" s="66">
        <f t="shared" si="216"/>
        <v>170.00000000000003</v>
      </c>
      <c r="F1531" s="26"/>
      <c r="G1531" s="26"/>
      <c r="I1531" s="59"/>
      <c r="J1531" s="28"/>
      <c r="AC1531" s="288">
        <v>170</v>
      </c>
      <c r="AD1531" s="288">
        <v>170</v>
      </c>
      <c r="AE1531" s="288"/>
      <c r="AF1531" s="288"/>
      <c r="AG1531" s="288"/>
      <c r="AH1531" s="288"/>
      <c r="AI1531" s="288"/>
      <c r="AJ1531" s="288"/>
      <c r="AK1531" s="288"/>
      <c r="AL1531" s="288"/>
    </row>
    <row r="1532" spans="1:46">
      <c r="B1532" s="554" t="str">
        <f>IF($C$1="ENG","glazing Graphite / Bronze","скло Графіт / Бронза")</f>
        <v>скло Графіт / Бронза</v>
      </c>
      <c r="C1532" s="555"/>
      <c r="D1532" s="101">
        <f t="shared" si="215"/>
        <v>458.33333333333337</v>
      </c>
      <c r="E1532" s="92">
        <f t="shared" si="216"/>
        <v>550</v>
      </c>
      <c r="F1532" s="26"/>
      <c r="G1532" s="26"/>
      <c r="H1532" s="5"/>
      <c r="AC1532" s="288">
        <v>550</v>
      </c>
      <c r="AD1532" s="288">
        <v>550</v>
      </c>
      <c r="AE1532" s="288"/>
      <c r="AF1532" s="288"/>
      <c r="AG1532" s="288"/>
      <c r="AH1532" s="288"/>
      <c r="AI1532" s="288"/>
      <c r="AJ1532" s="288"/>
      <c r="AK1532" s="288"/>
      <c r="AL1532" s="288"/>
    </row>
    <row r="1533" spans="1:46">
      <c r="B1533" s="554" t="str">
        <f>IF($C$1="ENG","glazing Lacobel black ","скло Lacobel чорне")</f>
        <v>скло Lacobel чорне</v>
      </c>
      <c r="C1533" s="555"/>
      <c r="D1533" s="405">
        <f t="shared" si="215"/>
        <v>458.33333333333337</v>
      </c>
      <c r="E1533" s="92">
        <f>IF($W$5=0.2,D1533*1.2,D1533)/$W$4</f>
        <v>550</v>
      </c>
      <c r="F1533" s="26"/>
      <c r="G1533" s="26"/>
      <c r="H1533" s="5"/>
      <c r="AC1533" s="297">
        <v>550</v>
      </c>
      <c r="AD1533" s="297">
        <v>550</v>
      </c>
      <c r="AE1533" s="288"/>
      <c r="AF1533" s="288"/>
      <c r="AG1533" s="288"/>
      <c r="AH1533" s="288"/>
      <c r="AI1533" s="288"/>
      <c r="AJ1533" s="288"/>
      <c r="AK1533" s="288"/>
      <c r="AL1533" s="288"/>
    </row>
    <row r="1534" spans="1:46">
      <c r="B1534" s="554" t="str">
        <f>IF($C$1="ENG","door lock Soft","замок Soft")</f>
        <v>замок Soft</v>
      </c>
      <c r="C1534" s="555"/>
      <c r="D1534" s="101">
        <f t="shared" si="215"/>
        <v>458.33333333333337</v>
      </c>
      <c r="E1534" s="92">
        <f t="shared" si="216"/>
        <v>550</v>
      </c>
      <c r="F1534" s="26"/>
      <c r="G1534" s="26"/>
      <c r="H1534" s="5"/>
      <c r="AC1534" s="288">
        <v>550</v>
      </c>
      <c r="AD1534" s="288">
        <v>550</v>
      </c>
      <c r="AE1534" s="288"/>
      <c r="AF1534" s="288"/>
      <c r="AG1534" s="288"/>
      <c r="AH1534" s="288"/>
      <c r="AI1534" s="288"/>
      <c r="AJ1534" s="288"/>
      <c r="AK1534" s="288"/>
      <c r="AL1534" s="288"/>
    </row>
    <row r="1535" spans="1:46">
      <c r="B1535" s="554" t="str">
        <f>IF($C$1="ENG","door lock Soft black","замок Soft чорн.")</f>
        <v>замок Soft чорн.</v>
      </c>
      <c r="C1535" s="555"/>
      <c r="D1535" s="101">
        <f t="shared" ref="D1535" si="217">IF(AC1535="","",(1-$W$2)*(AC1535/1.2))</f>
        <v>566.66666666666674</v>
      </c>
      <c r="E1535" s="92">
        <f t="shared" ref="E1535" si="218">IF($W$5=0.2,D1535*1.2,D1535)/$W$4</f>
        <v>680.00000000000011</v>
      </c>
      <c r="F1535" s="26"/>
      <c r="G1535" s="26"/>
      <c r="H1535" s="5"/>
      <c r="AC1535" s="288">
        <v>680</v>
      </c>
      <c r="AD1535" s="288"/>
      <c r="AE1535" s="288"/>
      <c r="AF1535" s="288"/>
      <c r="AG1535" s="288"/>
      <c r="AH1535" s="288"/>
      <c r="AI1535" s="288"/>
      <c r="AJ1535" s="288"/>
      <c r="AK1535" s="288"/>
      <c r="AL1535" s="288"/>
    </row>
    <row r="1536" spans="1:46">
      <c r="B1536" s="554" t="str">
        <f>IF($C$1="ENG","door lock Magnet","замок Magnet")</f>
        <v>замок Magnet</v>
      </c>
      <c r="C1536" s="555"/>
      <c r="D1536" s="101">
        <f t="shared" si="215"/>
        <v>666.66666666666674</v>
      </c>
      <c r="E1536" s="92">
        <f t="shared" si="216"/>
        <v>800.00000000000011</v>
      </c>
      <c r="F1536" s="26"/>
      <c r="G1536" s="26"/>
      <c r="H1536" s="5"/>
      <c r="AC1536" s="288">
        <v>800</v>
      </c>
      <c r="AD1536" s="288">
        <v>800</v>
      </c>
      <c r="AE1536" s="288"/>
      <c r="AF1536" s="288"/>
      <c r="AG1536" s="288"/>
      <c r="AH1536" s="288"/>
      <c r="AI1536" s="288"/>
      <c r="AJ1536" s="288"/>
      <c r="AK1536" s="288"/>
      <c r="AL1536" s="288"/>
    </row>
    <row r="1537" spans="2:38">
      <c r="B1537" s="554" t="s">
        <v>66</v>
      </c>
      <c r="C1537" s="555"/>
      <c r="D1537" s="101">
        <f t="shared" ref="D1537" si="219">IF(AC1537="","",(1-$W$2)*(AC1537/1.2))</f>
        <v>833.33333333333337</v>
      </c>
      <c r="E1537" s="92">
        <f t="shared" ref="E1537" si="220">IF($W$5=0.2,D1537*1.2,D1537)/$W$4</f>
        <v>1000</v>
      </c>
      <c r="F1537" s="26"/>
      <c r="G1537" s="26"/>
      <c r="H1537" s="5"/>
      <c r="AC1537" s="288">
        <v>1000</v>
      </c>
      <c r="AD1537" s="288"/>
      <c r="AE1537" s="288"/>
      <c r="AF1537" s="288"/>
      <c r="AG1537" s="288"/>
      <c r="AH1537" s="288"/>
      <c r="AI1537" s="288"/>
      <c r="AJ1537" s="288"/>
      <c r="AK1537" s="288"/>
      <c r="AL1537" s="288"/>
    </row>
    <row r="1538" spans="2:38">
      <c r="B1538" s="554" t="str">
        <f>IF($C$1="ENG","door handle-lock (for sliding doors)","ручка-замок (для дверей купе)")</f>
        <v>ручка-замок (для дверей купе)</v>
      </c>
      <c r="C1538" s="555"/>
      <c r="D1538" s="132">
        <f t="shared" si="215"/>
        <v>466.66666666666669</v>
      </c>
      <c r="E1538" s="92">
        <f t="shared" si="216"/>
        <v>560</v>
      </c>
      <c r="F1538" s="26"/>
      <c r="G1538" s="26"/>
      <c r="I1538" s="11"/>
      <c r="J1538" s="11"/>
      <c r="K1538" s="19"/>
      <c r="AC1538" s="288">
        <v>560</v>
      </c>
      <c r="AD1538" s="288">
        <v>560</v>
      </c>
      <c r="AE1538" s="288"/>
      <c r="AF1538" s="288"/>
      <c r="AG1538" s="288"/>
      <c r="AH1538" s="288"/>
      <c r="AI1538" s="288"/>
      <c r="AJ1538" s="288"/>
      <c r="AK1538" s="288"/>
      <c r="AL1538" s="288"/>
    </row>
    <row r="1539" spans="2:38">
      <c r="B1539" s="554" t="str">
        <f>IF($C$1="ENG","cylinder incert","циліндр несиметричний")</f>
        <v>циліндр несиметричний</v>
      </c>
      <c r="C1539" s="555"/>
      <c r="D1539" s="132">
        <f t="shared" si="215"/>
        <v>316.66666666666669</v>
      </c>
      <c r="E1539" s="92">
        <f t="shared" si="216"/>
        <v>380</v>
      </c>
      <c r="F1539" s="26"/>
      <c r="G1539" s="26"/>
      <c r="AC1539" s="288">
        <v>380</v>
      </c>
      <c r="AD1539" s="288">
        <v>380</v>
      </c>
      <c r="AE1539" s="288"/>
      <c r="AF1539" s="288"/>
      <c r="AG1539" s="288"/>
      <c r="AH1539" s="288"/>
      <c r="AI1539" s="288"/>
      <c r="AJ1539" s="288"/>
      <c r="AK1539" s="288"/>
      <c r="AL1539" s="288"/>
    </row>
    <row r="1540" spans="2:38">
      <c r="B1540" s="554" t="str">
        <f>IF($C$1="ENG","door hindge Prestige (1 unit)","завіса Prestige (1 шт)")</f>
        <v>завіса Prestige (1 шт)</v>
      </c>
      <c r="C1540" s="555"/>
      <c r="D1540" s="134">
        <f t="shared" si="215"/>
        <v>216.66666666666669</v>
      </c>
      <c r="E1540" s="92">
        <f t="shared" si="216"/>
        <v>260</v>
      </c>
      <c r="F1540" s="26"/>
      <c r="G1540" s="26"/>
      <c r="AC1540" s="288">
        <v>260</v>
      </c>
      <c r="AD1540" s="288">
        <v>260</v>
      </c>
      <c r="AE1540" s="288"/>
      <c r="AF1540" s="288"/>
      <c r="AG1540" s="288"/>
      <c r="AH1540" s="288"/>
      <c r="AI1540" s="288"/>
      <c r="AJ1540" s="288"/>
      <c r="AK1540" s="288"/>
      <c r="AL1540" s="288"/>
    </row>
    <row r="1541" spans="2:38">
      <c r="B1541" s="554" t="str">
        <f>IF($C$1="ENG","door hinge caps (1 set)","накладка на завіси (1 к-т)")</f>
        <v>накладка на завіси (1 к-т)</v>
      </c>
      <c r="C1541" s="555"/>
      <c r="D1541" s="134">
        <f t="shared" si="215"/>
        <v>66.666666666666671</v>
      </c>
      <c r="E1541" s="92">
        <f t="shared" si="216"/>
        <v>80</v>
      </c>
      <c r="F1541" s="26"/>
      <c r="G1541" s="26"/>
      <c r="AC1541" s="288">
        <v>80</v>
      </c>
      <c r="AD1541" s="288">
        <v>80</v>
      </c>
      <c r="AE1541" s="288"/>
      <c r="AF1541" s="288"/>
      <c r="AG1541" s="288"/>
      <c r="AH1541" s="288"/>
      <c r="AI1541" s="288"/>
      <c r="AJ1541" s="288"/>
      <c r="AK1541" s="288"/>
      <c r="AL1541" s="288"/>
    </row>
    <row r="1542" spans="2:38">
      <c r="B1542" s="554" t="str">
        <f>IF($C$1="ENG","door handle","дверна ручка")</f>
        <v>дверна ручка</v>
      </c>
      <c r="C1542" s="555"/>
      <c r="D1542" s="133" t="str">
        <f t="shared" si="215"/>
        <v/>
      </c>
      <c r="E1542" s="246" t="str">
        <f>IF($C$1="ENG","see Handles Price","див. Таблицю Ручки")</f>
        <v>див. Таблицю Ручки</v>
      </c>
      <c r="F1542" s="26"/>
      <c r="G1542" s="26"/>
      <c r="AC1542" s="288"/>
      <c r="AD1542" s="288"/>
      <c r="AE1542" s="288"/>
      <c r="AF1542" s="288"/>
      <c r="AG1542" s="288"/>
      <c r="AH1542" s="288"/>
      <c r="AI1542" s="288"/>
      <c r="AJ1542" s="288"/>
      <c r="AK1542" s="288"/>
      <c r="AL1542" s="288"/>
    </row>
    <row r="1543" spans="2:38" ht="14.25" customHeight="1">
      <c r="C1543" s="244"/>
      <c r="D1543" s="26"/>
      <c r="E1543" s="26"/>
      <c r="F1543" s="26"/>
      <c r="G1543" s="26"/>
      <c r="H1543" s="5"/>
      <c r="U1543" s="536"/>
      <c r="V1543" s="536"/>
      <c r="W1543" s="536"/>
      <c r="X1543" s="322"/>
      <c r="Y1543" s="322"/>
      <c r="Z1543" s="322"/>
      <c r="AA1543" s="322"/>
      <c r="AB1543" s="322"/>
    </row>
    <row r="1544" spans="2:38" ht="14.25" customHeight="1">
      <c r="C1544" s="244"/>
      <c r="D1544" s="26"/>
      <c r="E1544" s="26"/>
      <c r="F1544" s="26"/>
      <c r="G1544" s="26"/>
      <c r="H1544" s="5"/>
    </row>
    <row r="1545" spans="2:38" ht="14.25" customHeight="1">
      <c r="C1545" s="244"/>
      <c r="D1545" s="26"/>
      <c r="E1545" s="26"/>
      <c r="F1545" s="26"/>
      <c r="G1545" s="26"/>
      <c r="H1545" s="5"/>
    </row>
    <row r="1546" spans="2:38" ht="14.25" customHeight="1">
      <c r="C1546" s="244"/>
      <c r="D1546" s="26"/>
      <c r="E1546" s="26"/>
      <c r="F1546" s="26"/>
      <c r="G1546" s="26"/>
      <c r="H1546" s="5"/>
    </row>
    <row r="1547" spans="2:38" ht="14.25" customHeight="1">
      <c r="C1547" s="244"/>
      <c r="D1547" s="26"/>
      <c r="E1547" s="26"/>
      <c r="F1547" s="26"/>
      <c r="G1547" s="26"/>
      <c r="H1547" s="5"/>
    </row>
    <row r="1548" spans="2:38" ht="14.25" customHeight="1">
      <c r="C1548" s="244"/>
      <c r="D1548" s="26"/>
      <c r="E1548" s="26"/>
      <c r="F1548" s="26"/>
      <c r="G1548" s="26"/>
      <c r="H1548" s="5"/>
    </row>
    <row r="1549" spans="2:38" ht="14.25" customHeight="1">
      <c r="C1549" s="244"/>
      <c r="D1549" s="26"/>
      <c r="E1549" s="26"/>
      <c r="F1549" s="26"/>
      <c r="G1549" s="26"/>
      <c r="H1549" s="5"/>
    </row>
    <row r="1550" spans="2:38" ht="14.25" customHeight="1">
      <c r="C1550" s="244"/>
      <c r="D1550" s="26"/>
      <c r="E1550" s="26"/>
      <c r="F1550" s="26"/>
      <c r="G1550" s="26"/>
      <c r="H1550" s="5"/>
    </row>
    <row r="1551" spans="2:38" ht="14.25" customHeight="1">
      <c r="C1551" s="244"/>
      <c r="D1551" s="26"/>
      <c r="E1551" s="26"/>
      <c r="F1551" s="26"/>
      <c r="G1551" s="26"/>
      <c r="H1551" s="5"/>
    </row>
    <row r="1552" spans="2:38" ht="14.25" customHeight="1">
      <c r="C1552" s="244"/>
      <c r="D1552" s="26"/>
      <c r="E1552" s="26"/>
      <c r="F1552" s="26"/>
      <c r="G1552" s="26"/>
      <c r="H1552" s="5"/>
    </row>
    <row r="1553" spans="3:8" ht="14.25" customHeight="1">
      <c r="C1553" s="244"/>
      <c r="D1553" s="26"/>
      <c r="E1553" s="26"/>
      <c r="F1553" s="26"/>
      <c r="G1553" s="26"/>
      <c r="H1553" s="5"/>
    </row>
    <row r="1554" spans="3:8" ht="14.25" customHeight="1">
      <c r="C1554" s="244"/>
      <c r="D1554" s="26"/>
      <c r="E1554" s="26"/>
      <c r="F1554" s="26"/>
      <c r="G1554" s="26"/>
      <c r="H1554" s="5"/>
    </row>
    <row r="1555" spans="3:8" ht="14.25" customHeight="1">
      <c r="C1555" s="244"/>
      <c r="D1555" s="26"/>
      <c r="E1555" s="26"/>
      <c r="F1555" s="26"/>
      <c r="G1555" s="26"/>
      <c r="H1555" s="5"/>
    </row>
    <row r="1556" spans="3:8" ht="14.25" customHeight="1">
      <c r="C1556" s="244"/>
      <c r="D1556" s="26"/>
      <c r="E1556" s="26"/>
      <c r="F1556" s="26"/>
      <c r="G1556" s="26"/>
      <c r="H1556" s="5"/>
    </row>
    <row r="1557" spans="3:8" ht="14.25" customHeight="1">
      <c r="C1557" s="244"/>
      <c r="D1557" s="26"/>
      <c r="E1557" s="26"/>
      <c r="F1557" s="26"/>
      <c r="G1557" s="26"/>
      <c r="H1557" s="5"/>
    </row>
    <row r="1558" spans="3:8" ht="14.25" customHeight="1">
      <c r="C1558" s="244"/>
      <c r="D1558" s="26"/>
      <c r="E1558" s="26"/>
      <c r="F1558" s="26"/>
      <c r="G1558" s="26"/>
      <c r="H1558" s="5"/>
    </row>
    <row r="1559" spans="3:8" ht="14.25" customHeight="1">
      <c r="C1559" s="244"/>
      <c r="D1559" s="26"/>
      <c r="E1559" s="26"/>
      <c r="F1559" s="26"/>
      <c r="G1559" s="26"/>
      <c r="H1559" s="5"/>
    </row>
    <row r="1560" spans="3:8" ht="14.25" customHeight="1">
      <c r="C1560" s="244"/>
      <c r="D1560" s="26"/>
      <c r="E1560" s="26"/>
      <c r="F1560" s="26"/>
      <c r="G1560" s="26"/>
      <c r="H1560" s="5"/>
    </row>
    <row r="1561" spans="3:8" ht="14.25" customHeight="1">
      <c r="C1561" s="244"/>
      <c r="D1561" s="26"/>
      <c r="E1561" s="26"/>
      <c r="F1561" s="26"/>
      <c r="G1561" s="26"/>
      <c r="H1561" s="5"/>
    </row>
    <row r="1562" spans="3:8" ht="14.25" customHeight="1">
      <c r="C1562" s="244"/>
      <c r="D1562" s="26"/>
      <c r="E1562" s="26"/>
      <c r="F1562" s="26"/>
      <c r="G1562" s="26"/>
      <c r="H1562" s="5"/>
    </row>
    <row r="1563" spans="3:8" ht="14.25" customHeight="1">
      <c r="C1563" s="244"/>
      <c r="D1563" s="26"/>
      <c r="E1563" s="26"/>
      <c r="F1563" s="26"/>
      <c r="G1563" s="26"/>
      <c r="H1563" s="5"/>
    </row>
    <row r="1564" spans="3:8" ht="14.25" customHeight="1">
      <c r="C1564" s="244"/>
      <c r="D1564" s="26"/>
      <c r="E1564" s="26"/>
      <c r="F1564" s="26"/>
      <c r="G1564" s="26"/>
      <c r="H1564" s="5"/>
    </row>
    <row r="1565" spans="3:8" ht="14.25" customHeight="1">
      <c r="C1565" s="244"/>
      <c r="D1565" s="26"/>
      <c r="E1565" s="26"/>
      <c r="F1565" s="26"/>
      <c r="G1565" s="26"/>
      <c r="H1565" s="5"/>
    </row>
    <row r="1566" spans="3:8" ht="14.25" customHeight="1">
      <c r="C1566" s="244"/>
      <c r="D1566" s="26"/>
      <c r="E1566" s="26"/>
      <c r="F1566" s="26"/>
      <c r="G1566" s="26"/>
      <c r="H1566" s="5"/>
    </row>
    <row r="1567" spans="3:8" ht="14.25" customHeight="1">
      <c r="C1567" s="244"/>
      <c r="D1567" s="26"/>
      <c r="E1567" s="26"/>
      <c r="F1567" s="26"/>
      <c r="G1567" s="26"/>
      <c r="H1567" s="5"/>
    </row>
    <row r="1568" spans="3:8" ht="14.25" customHeight="1">
      <c r="C1568" s="244"/>
      <c r="D1568" s="26"/>
      <c r="E1568" s="26"/>
      <c r="F1568" s="26"/>
      <c r="G1568" s="26"/>
      <c r="H1568" s="5"/>
    </row>
    <row r="1569" spans="3:8" ht="14.25" customHeight="1">
      <c r="C1569" s="244"/>
      <c r="D1569" s="26"/>
      <c r="E1569" s="26"/>
      <c r="F1569" s="26"/>
      <c r="G1569" s="26"/>
      <c r="H1569" s="5"/>
    </row>
    <row r="1570" spans="3:8" ht="14.25" customHeight="1">
      <c r="C1570" s="244"/>
      <c r="D1570" s="26"/>
      <c r="E1570" s="26"/>
      <c r="F1570" s="26"/>
      <c r="G1570" s="26"/>
      <c r="H1570" s="5"/>
    </row>
    <row r="1571" spans="3:8" ht="14.25" customHeight="1">
      <c r="C1571" s="244"/>
      <c r="D1571" s="26"/>
      <c r="E1571" s="26"/>
      <c r="F1571" s="26"/>
      <c r="G1571" s="26"/>
      <c r="H1571" s="5"/>
    </row>
    <row r="1572" spans="3:8" ht="14.25" customHeight="1">
      <c r="C1572" s="244"/>
      <c r="D1572" s="26"/>
      <c r="E1572" s="26"/>
      <c r="F1572" s="26"/>
      <c r="G1572" s="26"/>
      <c r="H1572" s="5"/>
    </row>
    <row r="1573" spans="3:8" ht="14.25" customHeight="1">
      <c r="C1573" s="244"/>
      <c r="D1573" s="26"/>
      <c r="E1573" s="26"/>
      <c r="F1573" s="26"/>
      <c r="G1573" s="26"/>
      <c r="H1573" s="5"/>
    </row>
    <row r="1574" spans="3:8" ht="14.25" customHeight="1">
      <c r="C1574" s="244"/>
      <c r="D1574" s="26"/>
      <c r="E1574" s="26"/>
      <c r="F1574" s="26"/>
      <c r="G1574" s="26"/>
      <c r="H1574" s="5"/>
    </row>
    <row r="1575" spans="3:8" ht="14.25" customHeight="1">
      <c r="C1575" s="244"/>
      <c r="D1575" s="26"/>
      <c r="E1575" s="26"/>
      <c r="F1575" s="26"/>
      <c r="G1575" s="26"/>
      <c r="H1575" s="5"/>
    </row>
    <row r="1576" spans="3:8" ht="14.25" customHeight="1">
      <c r="C1576" s="244"/>
      <c r="D1576" s="26"/>
      <c r="E1576" s="26"/>
      <c r="F1576" s="26"/>
      <c r="G1576" s="26"/>
      <c r="H1576" s="5"/>
    </row>
    <row r="1577" spans="3:8" ht="14.25" customHeight="1">
      <c r="C1577" s="244"/>
      <c r="D1577" s="26"/>
      <c r="E1577" s="26"/>
      <c r="F1577" s="26"/>
      <c r="G1577" s="26"/>
      <c r="H1577" s="5"/>
    </row>
    <row r="1578" spans="3:8" ht="14.25" customHeight="1">
      <c r="C1578" s="244"/>
      <c r="D1578" s="26"/>
      <c r="E1578" s="26"/>
      <c r="F1578" s="26"/>
      <c r="G1578" s="26"/>
      <c r="H1578" s="5"/>
    </row>
    <row r="1579" spans="3:8" ht="14.25" customHeight="1">
      <c r="C1579" s="244"/>
      <c r="D1579" s="26"/>
      <c r="E1579" s="26"/>
      <c r="F1579" s="26"/>
      <c r="G1579" s="26"/>
      <c r="H1579" s="5"/>
    </row>
    <row r="1580" spans="3:8" ht="14.25" customHeight="1">
      <c r="C1580" s="244"/>
      <c r="D1580" s="26"/>
      <c r="E1580" s="26"/>
      <c r="F1580" s="26"/>
      <c r="G1580" s="26"/>
      <c r="H1580" s="5"/>
    </row>
    <row r="1581" spans="3:8" ht="14.25" customHeight="1">
      <c r="C1581" s="244"/>
      <c r="D1581" s="26"/>
      <c r="E1581" s="26"/>
      <c r="F1581" s="26"/>
      <c r="G1581" s="26"/>
      <c r="H1581" s="5"/>
    </row>
    <row r="1582" spans="3:8" ht="14.25" customHeight="1">
      <c r="C1582" s="244"/>
      <c r="D1582" s="26"/>
      <c r="E1582" s="26"/>
      <c r="F1582" s="26"/>
      <c r="G1582" s="26"/>
      <c r="H1582" s="5"/>
    </row>
    <row r="1583" spans="3:8" ht="14.25" customHeight="1">
      <c r="C1583" s="244"/>
      <c r="D1583" s="26"/>
      <c r="E1583" s="26"/>
      <c r="F1583" s="26"/>
      <c r="G1583" s="26"/>
      <c r="H1583" s="5"/>
    </row>
    <row r="1584" spans="3:8" ht="14.25" customHeight="1">
      <c r="C1584" s="244"/>
      <c r="D1584" s="26"/>
      <c r="E1584" s="26"/>
      <c r="F1584" s="26"/>
      <c r="G1584" s="26"/>
      <c r="H1584" s="5"/>
    </row>
    <row r="1585" spans="3:23" ht="14.25" customHeight="1">
      <c r="C1585" s="244"/>
      <c r="D1585" s="26"/>
      <c r="E1585" s="26"/>
      <c r="F1585" s="26"/>
      <c r="G1585" s="26"/>
      <c r="H1585" s="5"/>
    </row>
    <row r="1586" spans="3:23" ht="14.25" customHeight="1">
      <c r="C1586" s="244"/>
      <c r="D1586" s="26"/>
      <c r="E1586" s="26"/>
      <c r="F1586" s="26"/>
      <c r="G1586" s="26"/>
      <c r="H1586" s="5"/>
    </row>
    <row r="1587" spans="3:23" ht="14.25" customHeight="1">
      <c r="C1587" s="244"/>
      <c r="D1587" s="26"/>
      <c r="E1587" s="26"/>
      <c r="F1587" s="26"/>
      <c r="G1587" s="26"/>
      <c r="H1587" s="5"/>
    </row>
    <row r="1588" spans="3:23" ht="14.25" customHeight="1">
      <c r="C1588" s="244"/>
      <c r="D1588" s="26"/>
      <c r="E1588" s="26"/>
      <c r="F1588" s="26"/>
      <c r="G1588" s="26"/>
      <c r="H1588" s="5"/>
    </row>
    <row r="1589" spans="3:23" ht="14.25" customHeight="1">
      <c r="C1589" s="244"/>
      <c r="D1589" s="26"/>
      <c r="E1589" s="26"/>
      <c r="F1589" s="26"/>
      <c r="G1589" s="26"/>
      <c r="H1589" s="5"/>
    </row>
    <row r="1590" spans="3:23" ht="14.25" customHeight="1">
      <c r="C1590" s="244"/>
      <c r="D1590" s="26"/>
      <c r="E1590" s="26"/>
      <c r="F1590" s="26"/>
      <c r="G1590" s="26"/>
      <c r="H1590" s="5"/>
    </row>
    <row r="1591" spans="3:23" ht="14.25" customHeight="1">
      <c r="C1591" s="244"/>
      <c r="D1591" s="26"/>
      <c r="E1591" s="26"/>
      <c r="F1591" s="26"/>
      <c r="G1591" s="26"/>
      <c r="H1591" s="5"/>
    </row>
    <row r="1592" spans="3:23" ht="14.25" customHeight="1">
      <c r="C1592" s="244"/>
      <c r="D1592" s="26"/>
      <c r="E1592" s="26"/>
      <c r="F1592" s="26"/>
      <c r="G1592" s="26"/>
      <c r="H1592" s="5"/>
    </row>
    <row r="1593" spans="3:23" ht="14.25" customHeight="1">
      <c r="C1593" s="244"/>
      <c r="D1593" s="26"/>
      <c r="E1593" s="26"/>
      <c r="F1593" s="26"/>
      <c r="G1593" s="26"/>
      <c r="H1593" s="5"/>
      <c r="T1593" s="114"/>
      <c r="U1593" s="114"/>
      <c r="V1593" s="114"/>
      <c r="W1593" s="114"/>
    </row>
    <row r="1594" spans="3:23" ht="14.25" customHeight="1">
      <c r="C1594" s="244"/>
      <c r="D1594" s="26"/>
      <c r="E1594" s="26"/>
      <c r="F1594" s="26"/>
      <c r="G1594" s="26"/>
      <c r="H1594" s="5"/>
      <c r="T1594" s="114"/>
      <c r="U1594" s="114"/>
      <c r="V1594" s="114"/>
      <c r="W1594" s="114"/>
    </row>
    <row r="1595" spans="3:23" ht="14.25" customHeight="1">
      <c r="C1595" s="244"/>
      <c r="D1595" s="26"/>
      <c r="E1595" s="26"/>
      <c r="F1595" s="26"/>
      <c r="G1595" s="26"/>
      <c r="H1595" s="5"/>
      <c r="T1595" s="114"/>
      <c r="U1595" s="114"/>
      <c r="V1595" s="114"/>
      <c r="W1595" s="114"/>
    </row>
    <row r="1596" spans="3:23" ht="14.25" customHeight="1">
      <c r="C1596" s="244"/>
      <c r="D1596" s="26"/>
      <c r="E1596" s="26"/>
      <c r="F1596" s="26"/>
      <c r="G1596" s="26"/>
      <c r="H1596" s="5"/>
      <c r="T1596" s="114"/>
      <c r="U1596" s="114"/>
      <c r="V1596" s="114"/>
      <c r="W1596" s="114"/>
    </row>
    <row r="1597" spans="3:23" ht="14.25" customHeight="1">
      <c r="C1597" s="244"/>
      <c r="D1597" s="26"/>
      <c r="E1597" s="26"/>
      <c r="F1597" s="26"/>
      <c r="G1597" s="26"/>
      <c r="H1597" s="5"/>
      <c r="T1597" s="114"/>
      <c r="U1597" s="114"/>
      <c r="V1597" s="114"/>
      <c r="W1597" s="114"/>
    </row>
    <row r="1598" spans="3:23" ht="14.25" customHeight="1">
      <c r="C1598" s="244"/>
      <c r="D1598" s="26"/>
      <c r="E1598" s="26"/>
      <c r="F1598" s="26"/>
      <c r="G1598" s="26"/>
      <c r="H1598" s="5"/>
      <c r="T1598" s="114"/>
      <c r="U1598" s="114"/>
      <c r="V1598" s="114"/>
      <c r="W1598" s="114"/>
    </row>
    <row r="1599" spans="3:23" ht="14.25" customHeight="1">
      <c r="C1599" s="244"/>
      <c r="D1599" s="26"/>
      <c r="E1599" s="26"/>
      <c r="F1599" s="26"/>
      <c r="G1599" s="26"/>
      <c r="H1599" s="5"/>
      <c r="T1599" s="114"/>
      <c r="U1599" s="114"/>
      <c r="V1599" s="114"/>
      <c r="W1599" s="114"/>
    </row>
    <row r="1600" spans="3:23" ht="14.25" customHeight="1">
      <c r="C1600" s="244"/>
      <c r="D1600" s="26"/>
      <c r="E1600" s="26"/>
      <c r="F1600" s="26"/>
      <c r="G1600" s="26"/>
      <c r="H1600" s="5"/>
      <c r="T1600" s="114"/>
      <c r="U1600" s="114"/>
      <c r="V1600" s="114"/>
      <c r="W1600" s="114"/>
    </row>
    <row r="1601" spans="3:23" ht="14.25" customHeight="1">
      <c r="C1601" s="244"/>
      <c r="D1601" s="26"/>
      <c r="E1601" s="26"/>
      <c r="F1601" s="26"/>
      <c r="G1601" s="26"/>
      <c r="H1601" s="5"/>
      <c r="T1601" s="114"/>
      <c r="U1601" s="114"/>
      <c r="V1601" s="114"/>
      <c r="W1601" s="114"/>
    </row>
    <row r="1602" spans="3:23" ht="14.25" customHeight="1">
      <c r="C1602" s="244"/>
      <c r="D1602" s="26"/>
      <c r="E1602" s="26"/>
      <c r="F1602" s="26"/>
      <c r="G1602" s="26"/>
      <c r="H1602" s="5"/>
      <c r="T1602" s="114"/>
      <c r="U1602" s="114"/>
      <c r="V1602" s="114"/>
      <c r="W1602" s="114"/>
    </row>
    <row r="1603" spans="3:23" ht="14.25" customHeight="1">
      <c r="C1603" s="244"/>
      <c r="D1603" s="26"/>
      <c r="E1603" s="26"/>
      <c r="F1603" s="26"/>
      <c r="G1603" s="26"/>
      <c r="H1603" s="5"/>
      <c r="T1603" s="114"/>
      <c r="U1603" s="114"/>
      <c r="V1603" s="114"/>
      <c r="W1603" s="114"/>
    </row>
    <row r="1604" spans="3:23" ht="14.25" customHeight="1">
      <c r="C1604" s="244"/>
      <c r="D1604" s="26"/>
      <c r="E1604" s="26"/>
      <c r="F1604" s="26"/>
      <c r="G1604" s="26"/>
      <c r="H1604" s="5"/>
      <c r="T1604" s="114"/>
      <c r="U1604" s="114"/>
      <c r="V1604" s="114"/>
      <c r="W1604" s="114"/>
    </row>
    <row r="1605" spans="3:23" ht="14.25" customHeight="1">
      <c r="C1605" s="244"/>
      <c r="D1605" s="26"/>
      <c r="E1605" s="26"/>
      <c r="F1605" s="26"/>
      <c r="G1605" s="26"/>
      <c r="H1605" s="5"/>
      <c r="T1605" s="114"/>
      <c r="U1605" s="114"/>
      <c r="V1605" s="114"/>
      <c r="W1605" s="114"/>
    </row>
    <row r="1606" spans="3:23" ht="14.25" customHeight="1">
      <c r="C1606" s="244"/>
      <c r="D1606" s="26"/>
      <c r="E1606" s="26"/>
      <c r="F1606" s="26"/>
      <c r="G1606" s="26"/>
      <c r="H1606" s="5"/>
      <c r="T1606" s="114"/>
      <c r="U1606" s="114"/>
      <c r="V1606" s="114"/>
      <c r="W1606" s="114"/>
    </row>
    <row r="1607" spans="3:23" ht="14.25" customHeight="1">
      <c r="C1607" s="244"/>
      <c r="D1607" s="26"/>
      <c r="E1607" s="26"/>
      <c r="F1607" s="26"/>
      <c r="G1607" s="26"/>
      <c r="H1607" s="5"/>
      <c r="T1607" s="114"/>
      <c r="U1607" s="114"/>
      <c r="V1607" s="114"/>
      <c r="W1607" s="114"/>
    </row>
    <row r="1608" spans="3:23" ht="14.25" customHeight="1">
      <c r="C1608" s="244"/>
      <c r="D1608" s="26"/>
      <c r="E1608" s="26"/>
      <c r="F1608" s="26"/>
      <c r="G1608" s="26"/>
      <c r="H1608" s="5"/>
      <c r="T1608" s="114"/>
      <c r="U1608" s="114"/>
      <c r="V1608" s="114"/>
      <c r="W1608" s="114"/>
    </row>
    <row r="1609" spans="3:23" ht="14.25" customHeight="1">
      <c r="C1609" s="244"/>
      <c r="D1609" s="26"/>
      <c r="E1609" s="26"/>
      <c r="F1609" s="26"/>
      <c r="G1609" s="26"/>
      <c r="H1609" s="5"/>
      <c r="T1609" s="114"/>
      <c r="U1609" s="114"/>
      <c r="V1609" s="114"/>
      <c r="W1609" s="114"/>
    </row>
    <row r="1610" spans="3:23" ht="14.25" customHeight="1">
      <c r="C1610" s="244"/>
      <c r="D1610" s="26"/>
      <c r="E1610" s="26"/>
      <c r="F1610" s="26"/>
      <c r="G1610" s="26"/>
      <c r="H1610" s="5"/>
      <c r="T1610" s="114"/>
      <c r="U1610" s="114"/>
      <c r="V1610" s="114"/>
      <c r="W1610" s="114"/>
    </row>
    <row r="1611" spans="3:23" ht="14.25" customHeight="1">
      <c r="C1611" s="244"/>
      <c r="D1611" s="26"/>
      <c r="E1611" s="26"/>
      <c r="F1611" s="26"/>
      <c r="G1611" s="26"/>
      <c r="H1611" s="5"/>
      <c r="T1611" s="114"/>
      <c r="U1611" s="114"/>
      <c r="V1611" s="114"/>
      <c r="W1611" s="114"/>
    </row>
    <row r="1612" spans="3:23" ht="14.25" customHeight="1">
      <c r="C1612" s="244"/>
      <c r="D1612" s="26"/>
      <c r="E1612" s="26"/>
      <c r="F1612" s="26"/>
      <c r="G1612" s="26"/>
      <c r="H1612" s="5"/>
      <c r="T1612" s="114"/>
      <c r="U1612" s="114"/>
      <c r="V1612" s="114"/>
      <c r="W1612" s="114"/>
    </row>
    <row r="1613" spans="3:23" ht="14.25" customHeight="1">
      <c r="C1613" s="244"/>
      <c r="D1613" s="26"/>
      <c r="E1613" s="26"/>
      <c r="F1613" s="26"/>
      <c r="G1613" s="26"/>
      <c r="H1613" s="5"/>
      <c r="T1613" s="114"/>
      <c r="U1613" s="114"/>
      <c r="V1613" s="114"/>
      <c r="W1613" s="114"/>
    </row>
    <row r="1614" spans="3:23" ht="14.25" customHeight="1">
      <c r="C1614" s="244"/>
      <c r="D1614" s="26"/>
      <c r="E1614" s="26"/>
      <c r="F1614" s="26"/>
      <c r="G1614" s="26"/>
      <c r="H1614" s="5"/>
      <c r="T1614" s="114"/>
      <c r="U1614" s="114"/>
      <c r="V1614" s="114"/>
      <c r="W1614" s="114"/>
    </row>
    <row r="1615" spans="3:23" ht="14.25" customHeight="1">
      <c r="C1615" s="244"/>
      <c r="D1615" s="26"/>
      <c r="E1615" s="26"/>
      <c r="F1615" s="26"/>
      <c r="G1615" s="26"/>
      <c r="H1615" s="5"/>
      <c r="T1615" s="114"/>
      <c r="U1615" s="114"/>
      <c r="V1615" s="114"/>
      <c r="W1615" s="114"/>
    </row>
    <row r="1616" spans="3:23" ht="14.25" customHeight="1">
      <c r="C1616" s="244"/>
      <c r="D1616" s="26"/>
      <c r="E1616" s="26"/>
      <c r="F1616" s="26"/>
      <c r="G1616" s="26"/>
      <c r="H1616" s="5"/>
      <c r="T1616" s="114"/>
      <c r="U1616" s="114"/>
      <c r="V1616" s="114"/>
      <c r="W1616" s="114"/>
    </row>
    <row r="1617" spans="3:23" ht="14.25" customHeight="1">
      <c r="C1617" s="244"/>
      <c r="D1617" s="26"/>
      <c r="E1617" s="26"/>
      <c r="F1617" s="26"/>
      <c r="G1617" s="26"/>
      <c r="H1617" s="5"/>
      <c r="T1617" s="114"/>
      <c r="U1617" s="114"/>
      <c r="V1617" s="114"/>
      <c r="W1617" s="114"/>
    </row>
    <row r="1618" spans="3:23" ht="14.25" customHeight="1">
      <c r="C1618" s="244"/>
      <c r="D1618" s="26"/>
      <c r="E1618" s="26"/>
      <c r="F1618" s="26"/>
      <c r="G1618" s="26"/>
      <c r="H1618" s="5"/>
      <c r="T1618" s="114"/>
      <c r="U1618" s="114"/>
      <c r="V1618" s="114"/>
      <c r="W1618" s="114"/>
    </row>
    <row r="1619" spans="3:23" ht="14.25" customHeight="1">
      <c r="C1619" s="244"/>
      <c r="D1619" s="26"/>
      <c r="E1619" s="26"/>
      <c r="F1619" s="26"/>
      <c r="G1619" s="26"/>
      <c r="H1619" s="5"/>
      <c r="T1619" s="114"/>
      <c r="U1619" s="114"/>
      <c r="V1619" s="114"/>
      <c r="W1619" s="114"/>
    </row>
    <row r="1620" spans="3:23" ht="14.25" customHeight="1">
      <c r="C1620" s="244"/>
      <c r="D1620" s="26"/>
      <c r="E1620" s="26"/>
      <c r="F1620" s="26"/>
      <c r="G1620" s="26"/>
      <c r="H1620" s="5"/>
      <c r="T1620" s="114"/>
      <c r="U1620" s="114"/>
      <c r="V1620" s="114"/>
      <c r="W1620" s="114"/>
    </row>
    <row r="1621" spans="3:23" ht="14.25" customHeight="1">
      <c r="C1621" s="244"/>
      <c r="D1621" s="26"/>
      <c r="E1621" s="26"/>
      <c r="F1621" s="26"/>
      <c r="G1621" s="26"/>
      <c r="H1621" s="5"/>
      <c r="T1621" s="114"/>
      <c r="U1621" s="114"/>
      <c r="V1621" s="114"/>
      <c r="W1621" s="114"/>
    </row>
    <row r="1622" spans="3:23" ht="14.25" customHeight="1">
      <c r="C1622" s="244"/>
      <c r="D1622" s="26"/>
      <c r="E1622" s="26"/>
      <c r="F1622" s="26"/>
      <c r="G1622" s="26"/>
      <c r="H1622" s="5"/>
      <c r="T1622" s="114"/>
      <c r="U1622" s="114"/>
      <c r="V1622" s="114"/>
      <c r="W1622" s="114"/>
    </row>
    <row r="1623" spans="3:23" ht="14.25" customHeight="1">
      <c r="C1623" s="244"/>
      <c r="D1623" s="26"/>
      <c r="E1623" s="26"/>
      <c r="F1623" s="26"/>
      <c r="G1623" s="26"/>
      <c r="H1623" s="5"/>
      <c r="T1623" s="114"/>
      <c r="U1623" s="114"/>
      <c r="V1623" s="114"/>
      <c r="W1623" s="114"/>
    </row>
    <row r="1624" spans="3:23" ht="14.25" customHeight="1">
      <c r="C1624" s="244"/>
      <c r="D1624" s="26"/>
      <c r="E1624" s="26"/>
      <c r="F1624" s="26"/>
      <c r="G1624" s="26"/>
      <c r="H1624" s="5"/>
      <c r="T1624" s="114"/>
      <c r="U1624" s="114"/>
      <c r="V1624" s="114"/>
      <c r="W1624" s="114"/>
    </row>
    <row r="1625" spans="3:23" ht="14.25" customHeight="1">
      <c r="C1625" s="244"/>
      <c r="D1625" s="26"/>
      <c r="E1625" s="26"/>
      <c r="F1625" s="26"/>
      <c r="G1625" s="26"/>
      <c r="H1625" s="5"/>
      <c r="T1625" s="114"/>
      <c r="U1625" s="114"/>
      <c r="V1625" s="114"/>
      <c r="W1625" s="114"/>
    </row>
    <row r="1626" spans="3:23" ht="14.25" customHeight="1">
      <c r="C1626" s="244"/>
      <c r="D1626" s="26"/>
      <c r="E1626" s="26"/>
      <c r="F1626" s="26"/>
      <c r="G1626" s="26"/>
      <c r="H1626" s="5"/>
      <c r="T1626" s="114"/>
      <c r="U1626" s="114"/>
      <c r="V1626" s="114"/>
      <c r="W1626" s="114"/>
    </row>
    <row r="1627" spans="3:23" ht="14.25" customHeight="1">
      <c r="C1627" s="244"/>
      <c r="D1627" s="26"/>
      <c r="E1627" s="26"/>
      <c r="F1627" s="26"/>
      <c r="G1627" s="26"/>
      <c r="H1627" s="5"/>
      <c r="T1627" s="114"/>
      <c r="U1627" s="114"/>
      <c r="V1627" s="114"/>
      <c r="W1627" s="114"/>
    </row>
    <row r="1628" spans="3:23" ht="14.25" customHeight="1">
      <c r="C1628" s="244"/>
      <c r="D1628" s="26"/>
      <c r="E1628" s="26"/>
      <c r="F1628" s="26"/>
      <c r="G1628" s="26"/>
      <c r="H1628" s="5"/>
      <c r="T1628" s="114"/>
      <c r="U1628" s="114"/>
      <c r="V1628" s="114"/>
      <c r="W1628" s="114"/>
    </row>
    <row r="1629" spans="3:23" ht="14.25" customHeight="1">
      <c r="C1629" s="244"/>
      <c r="D1629" s="26"/>
      <c r="E1629" s="26"/>
      <c r="F1629" s="26"/>
      <c r="G1629" s="26"/>
      <c r="H1629" s="5"/>
      <c r="T1629" s="114"/>
      <c r="U1629" s="114"/>
      <c r="V1629" s="114"/>
      <c r="W1629" s="114"/>
    </row>
    <row r="1630" spans="3:23" ht="14.25" customHeight="1">
      <c r="C1630" s="244"/>
      <c r="D1630" s="26"/>
      <c r="E1630" s="26"/>
      <c r="F1630" s="26"/>
      <c r="G1630" s="26"/>
      <c r="H1630" s="5"/>
      <c r="T1630" s="114"/>
      <c r="U1630" s="114"/>
      <c r="V1630" s="114"/>
      <c r="W1630" s="114"/>
    </row>
    <row r="1631" spans="3:23" ht="14.25" customHeight="1">
      <c r="C1631" s="244"/>
      <c r="D1631" s="26"/>
      <c r="E1631" s="26"/>
      <c r="F1631" s="26"/>
      <c r="G1631" s="26"/>
      <c r="H1631" s="5"/>
      <c r="T1631" s="114"/>
      <c r="U1631" s="114"/>
      <c r="V1631" s="114"/>
      <c r="W1631" s="114"/>
    </row>
    <row r="1632" spans="3:23" ht="14.25" customHeight="1">
      <c r="C1632" s="244"/>
      <c r="D1632" s="26"/>
      <c r="E1632" s="26"/>
      <c r="F1632" s="26"/>
      <c r="G1632" s="26"/>
      <c r="H1632" s="5"/>
      <c r="T1632" s="114"/>
      <c r="U1632" s="114"/>
      <c r="V1632" s="114"/>
      <c r="W1632" s="114"/>
    </row>
    <row r="1633" spans="3:28" ht="14.25" customHeight="1">
      <c r="C1633" s="244"/>
      <c r="D1633" s="26"/>
      <c r="E1633" s="26"/>
      <c r="F1633" s="26"/>
      <c r="G1633" s="26"/>
      <c r="H1633" s="5"/>
      <c r="T1633" s="114"/>
      <c r="U1633" s="114"/>
      <c r="V1633" s="114"/>
      <c r="W1633" s="114"/>
    </row>
    <row r="1634" spans="3:28" ht="14.25" customHeight="1">
      <c r="C1634" s="244"/>
      <c r="D1634" s="26"/>
      <c r="E1634" s="26"/>
      <c r="F1634" s="26"/>
      <c r="G1634" s="26"/>
      <c r="H1634" s="5"/>
      <c r="T1634" s="114"/>
      <c r="U1634" s="114"/>
      <c r="V1634" s="114"/>
      <c r="W1634" s="114"/>
    </row>
    <row r="1635" spans="3:28" ht="14.25" customHeight="1">
      <c r="C1635" s="244"/>
      <c r="D1635" s="26"/>
      <c r="E1635" s="26"/>
      <c r="F1635" s="26"/>
      <c r="G1635" s="26"/>
      <c r="H1635" s="5"/>
      <c r="T1635" s="114"/>
      <c r="U1635" s="114"/>
      <c r="V1635" s="114"/>
      <c r="W1635" s="114"/>
    </row>
    <row r="1636" spans="3:28" ht="14.25" customHeight="1">
      <c r="C1636" s="244"/>
      <c r="D1636" s="26"/>
      <c r="E1636" s="26"/>
      <c r="F1636" s="26"/>
      <c r="G1636" s="26"/>
      <c r="H1636" s="5"/>
      <c r="T1636" s="114"/>
      <c r="U1636" s="114"/>
      <c r="V1636" s="114"/>
      <c r="W1636" s="114"/>
    </row>
    <row r="1637" spans="3:28" ht="14.25" customHeight="1">
      <c r="C1637" s="244"/>
      <c r="D1637" s="26"/>
      <c r="E1637" s="26"/>
      <c r="F1637" s="26"/>
      <c r="G1637" s="26"/>
      <c r="H1637" s="5"/>
      <c r="T1637" s="114"/>
      <c r="U1637" s="114"/>
      <c r="V1637" s="114"/>
      <c r="W1637" s="114"/>
    </row>
    <row r="1638" spans="3:28" ht="14.25" customHeight="1">
      <c r="C1638" s="244"/>
      <c r="D1638" s="26"/>
      <c r="E1638" s="26"/>
      <c r="F1638" s="26"/>
      <c r="G1638" s="26"/>
      <c r="H1638" s="5"/>
      <c r="T1638" s="114"/>
      <c r="U1638" s="114"/>
      <c r="V1638" s="114"/>
      <c r="W1638" s="114"/>
    </row>
    <row r="1639" spans="3:28" ht="14.25" customHeight="1">
      <c r="C1639" s="244"/>
      <c r="D1639" s="26"/>
      <c r="E1639" s="26"/>
      <c r="F1639" s="26"/>
      <c r="G1639" s="26"/>
      <c r="H1639" s="5"/>
      <c r="T1639" s="114"/>
      <c r="U1639" s="114"/>
      <c r="V1639" s="114"/>
      <c r="W1639" s="114"/>
    </row>
    <row r="1640" spans="3:28" ht="14.25" customHeight="1">
      <c r="C1640" s="244"/>
      <c r="D1640" s="26"/>
      <c r="E1640" s="26"/>
      <c r="F1640" s="26"/>
      <c r="G1640" s="26"/>
      <c r="H1640" s="5"/>
      <c r="T1640" s="114"/>
      <c r="U1640" s="114"/>
      <c r="V1640" s="114"/>
      <c r="W1640" s="114"/>
    </row>
    <row r="1641" spans="3:28" ht="14.25" customHeight="1">
      <c r="C1641" s="244"/>
      <c r="D1641" s="26"/>
      <c r="E1641" s="26"/>
      <c r="F1641" s="26"/>
      <c r="G1641" s="26"/>
      <c r="H1641" s="5"/>
      <c r="T1641" s="114"/>
      <c r="U1641" s="114"/>
      <c r="V1641" s="114"/>
      <c r="W1641" s="114"/>
      <c r="X1641" s="303"/>
      <c r="Y1641" s="303"/>
      <c r="Z1641" s="303"/>
      <c r="AA1641" s="303"/>
      <c r="AB1641" s="303"/>
    </row>
    <row r="1642" spans="3:28" ht="14.25" customHeight="1">
      <c r="C1642" s="244"/>
      <c r="D1642" s="26"/>
      <c r="E1642" s="26"/>
      <c r="F1642" s="26"/>
      <c r="G1642" s="26"/>
      <c r="H1642" s="5"/>
      <c r="T1642" s="114"/>
      <c r="U1642" s="114"/>
      <c r="V1642" s="114"/>
      <c r="W1642" s="114"/>
      <c r="X1642" s="303"/>
      <c r="Y1642" s="303"/>
      <c r="Z1642" s="303"/>
      <c r="AA1642" s="303"/>
      <c r="AB1642" s="303"/>
    </row>
    <row r="1643" spans="3:28" ht="14.25" customHeight="1">
      <c r="C1643" s="244"/>
      <c r="D1643" s="26"/>
      <c r="E1643" s="26"/>
      <c r="F1643" s="26"/>
      <c r="G1643" s="26"/>
      <c r="H1643" s="5"/>
      <c r="T1643" s="114"/>
      <c r="U1643" s="114"/>
      <c r="V1643" s="114"/>
      <c r="W1643" s="114"/>
      <c r="X1643" s="303"/>
      <c r="Y1643" s="303"/>
      <c r="Z1643" s="303"/>
      <c r="AA1643" s="303"/>
      <c r="AB1643" s="303"/>
    </row>
    <row r="1644" spans="3:28" ht="14.25" customHeight="1">
      <c r="C1644" s="244"/>
      <c r="D1644" s="26"/>
      <c r="E1644" s="26"/>
      <c r="F1644" s="26"/>
      <c r="G1644" s="26"/>
      <c r="H1644" s="5"/>
      <c r="T1644" s="114"/>
      <c r="U1644" s="114"/>
      <c r="V1644" s="114"/>
      <c r="W1644" s="114"/>
      <c r="X1644" s="303"/>
      <c r="Y1644" s="303"/>
      <c r="Z1644" s="303"/>
      <c r="AA1644" s="303"/>
      <c r="AB1644" s="303"/>
    </row>
    <row r="1645" spans="3:28" ht="14.25" customHeight="1">
      <c r="C1645" s="244"/>
      <c r="D1645" s="26"/>
      <c r="E1645" s="26"/>
      <c r="F1645" s="26"/>
      <c r="G1645" s="26"/>
      <c r="H1645" s="5"/>
      <c r="T1645" s="114"/>
      <c r="U1645" s="114"/>
      <c r="V1645" s="114"/>
      <c r="W1645" s="114"/>
      <c r="X1645" s="303"/>
      <c r="Y1645" s="303"/>
      <c r="Z1645" s="303"/>
      <c r="AA1645" s="303"/>
      <c r="AB1645" s="303"/>
    </row>
    <row r="1646" spans="3:28" ht="14.25" customHeight="1">
      <c r="C1646" s="244"/>
      <c r="D1646" s="26"/>
      <c r="E1646" s="26"/>
      <c r="F1646" s="26"/>
      <c r="G1646" s="26"/>
      <c r="H1646" s="5"/>
      <c r="T1646" s="114"/>
      <c r="U1646" s="114"/>
      <c r="V1646" s="114"/>
      <c r="W1646" s="114"/>
      <c r="X1646" s="303"/>
      <c r="Y1646" s="303"/>
      <c r="Z1646" s="303"/>
      <c r="AA1646" s="303"/>
      <c r="AB1646" s="303"/>
    </row>
    <row r="1647" spans="3:28" ht="14.25" customHeight="1">
      <c r="C1647" s="244"/>
      <c r="D1647" s="26"/>
      <c r="E1647" s="26"/>
      <c r="F1647" s="26"/>
      <c r="G1647" s="26"/>
      <c r="H1647" s="5"/>
      <c r="T1647" s="114"/>
      <c r="U1647" s="114"/>
      <c r="V1647" s="114"/>
      <c r="W1647" s="114"/>
      <c r="X1647" s="303"/>
      <c r="Y1647" s="303"/>
      <c r="Z1647" s="303"/>
      <c r="AA1647" s="303"/>
      <c r="AB1647" s="303"/>
    </row>
    <row r="1648" spans="3:28" ht="14.25" customHeight="1">
      <c r="C1648" s="244"/>
      <c r="D1648" s="26"/>
      <c r="E1648" s="26"/>
      <c r="F1648" s="26"/>
      <c r="G1648" s="26"/>
      <c r="H1648" s="5"/>
      <c r="T1648" s="114"/>
      <c r="U1648" s="114"/>
      <c r="V1648" s="114"/>
      <c r="W1648" s="114"/>
      <c r="X1648" s="303"/>
      <c r="Y1648" s="303"/>
      <c r="Z1648" s="303"/>
      <c r="AA1648" s="303"/>
      <c r="AB1648" s="303"/>
    </row>
    <row r="1649" spans="3:28" ht="14.25" customHeight="1">
      <c r="C1649" s="244"/>
      <c r="D1649" s="26"/>
      <c r="E1649" s="26"/>
      <c r="F1649" s="26"/>
      <c r="G1649" s="26"/>
      <c r="H1649" s="5"/>
      <c r="T1649" s="114"/>
      <c r="U1649" s="114"/>
      <c r="V1649" s="114"/>
      <c r="W1649" s="114"/>
      <c r="X1649" s="303"/>
      <c r="Y1649" s="303"/>
      <c r="Z1649" s="303"/>
      <c r="AA1649" s="303"/>
      <c r="AB1649" s="303"/>
    </row>
    <row r="1650" spans="3:28" ht="14.25" customHeight="1">
      <c r="C1650" s="244"/>
      <c r="D1650" s="26"/>
      <c r="E1650" s="26"/>
      <c r="F1650" s="26"/>
      <c r="G1650" s="26"/>
      <c r="H1650" s="5"/>
      <c r="T1650" s="114"/>
      <c r="U1650" s="114"/>
      <c r="V1650" s="114"/>
      <c r="W1650" s="114"/>
      <c r="X1650" s="303"/>
      <c r="Y1650" s="303"/>
      <c r="Z1650" s="303"/>
      <c r="AA1650" s="303"/>
      <c r="AB1650" s="303"/>
    </row>
    <row r="1651" spans="3:28" ht="14.25" customHeight="1">
      <c r="C1651" s="244"/>
      <c r="D1651" s="26"/>
      <c r="E1651" s="26"/>
      <c r="F1651" s="26"/>
      <c r="G1651" s="26"/>
      <c r="H1651" s="5"/>
      <c r="T1651" s="114"/>
      <c r="U1651" s="114"/>
      <c r="V1651" s="114"/>
      <c r="W1651" s="114"/>
      <c r="X1651" s="303"/>
      <c r="Y1651" s="303"/>
      <c r="Z1651" s="303"/>
      <c r="AA1651" s="303"/>
      <c r="AB1651" s="303"/>
    </row>
    <row r="1652" spans="3:28" ht="14.25" customHeight="1">
      <c r="C1652" s="244"/>
      <c r="D1652" s="26"/>
      <c r="E1652" s="26"/>
      <c r="F1652" s="26"/>
      <c r="G1652" s="26"/>
      <c r="H1652" s="5"/>
      <c r="T1652" s="114"/>
      <c r="U1652" s="114"/>
      <c r="V1652" s="114"/>
      <c r="W1652" s="114"/>
      <c r="X1652" s="303"/>
      <c r="Y1652" s="303"/>
      <c r="Z1652" s="303"/>
      <c r="AA1652" s="303"/>
      <c r="AB1652" s="303"/>
    </row>
    <row r="1653" spans="3:28" ht="14.25" customHeight="1">
      <c r="C1653" s="244"/>
      <c r="D1653" s="26"/>
      <c r="E1653" s="26"/>
      <c r="F1653" s="26"/>
      <c r="G1653" s="26"/>
      <c r="H1653" s="5"/>
      <c r="T1653" s="114"/>
      <c r="U1653" s="114"/>
      <c r="V1653" s="114"/>
      <c r="W1653" s="114"/>
      <c r="X1653" s="303"/>
      <c r="Y1653" s="303"/>
      <c r="Z1653" s="303"/>
      <c r="AA1653" s="303"/>
      <c r="AB1653" s="303"/>
    </row>
    <row r="1654" spans="3:28" ht="14.25" customHeight="1">
      <c r="C1654" s="244"/>
      <c r="D1654" s="26"/>
      <c r="E1654" s="26"/>
      <c r="F1654" s="26"/>
      <c r="G1654" s="26"/>
      <c r="H1654" s="5"/>
      <c r="T1654" s="114"/>
      <c r="U1654" s="114"/>
      <c r="V1654" s="114"/>
      <c r="W1654" s="114"/>
      <c r="X1654" s="303"/>
      <c r="Y1654" s="303"/>
      <c r="Z1654" s="303"/>
      <c r="AA1654" s="303"/>
      <c r="AB1654" s="303"/>
    </row>
    <row r="1655" spans="3:28" ht="14.25" customHeight="1">
      <c r="C1655" s="244"/>
      <c r="D1655" s="26"/>
      <c r="E1655" s="26"/>
      <c r="F1655" s="26"/>
      <c r="G1655" s="26"/>
      <c r="H1655" s="5"/>
      <c r="T1655" s="114"/>
      <c r="U1655" s="114"/>
      <c r="V1655" s="114"/>
      <c r="W1655" s="114"/>
      <c r="X1655" s="303"/>
      <c r="Y1655" s="303"/>
      <c r="Z1655" s="303"/>
      <c r="AA1655" s="303"/>
      <c r="AB1655" s="303"/>
    </row>
    <row r="1656" spans="3:28" ht="14.25" customHeight="1">
      <c r="C1656" s="244"/>
      <c r="D1656" s="26"/>
      <c r="E1656" s="26"/>
      <c r="F1656" s="26"/>
      <c r="G1656" s="26"/>
      <c r="H1656" s="5"/>
      <c r="T1656" s="114"/>
      <c r="U1656" s="114"/>
      <c r="V1656" s="114"/>
      <c r="W1656" s="114"/>
      <c r="X1656" s="303"/>
      <c r="Y1656" s="303"/>
      <c r="Z1656" s="303"/>
      <c r="AA1656" s="303"/>
      <c r="AB1656" s="303"/>
    </row>
    <row r="1657" spans="3:28" ht="14.25" customHeight="1">
      <c r="C1657" s="244"/>
      <c r="D1657" s="26"/>
      <c r="E1657" s="26"/>
      <c r="F1657" s="26"/>
      <c r="G1657" s="26"/>
      <c r="H1657" s="5"/>
      <c r="T1657" s="114"/>
      <c r="U1657" s="114"/>
      <c r="V1657" s="114"/>
      <c r="W1657" s="114"/>
      <c r="X1657" s="303"/>
      <c r="Y1657" s="303"/>
      <c r="Z1657" s="303"/>
      <c r="AA1657" s="303"/>
      <c r="AB1657" s="303"/>
    </row>
    <row r="1658" spans="3:28" ht="14.25" customHeight="1">
      <c r="C1658" s="244"/>
      <c r="D1658" s="26"/>
      <c r="E1658" s="26"/>
      <c r="F1658" s="26"/>
      <c r="G1658" s="26"/>
      <c r="H1658" s="5"/>
      <c r="T1658" s="114"/>
      <c r="U1658" s="114"/>
      <c r="V1658" s="114"/>
      <c r="W1658" s="114"/>
      <c r="X1658" s="303"/>
      <c r="Y1658" s="303"/>
      <c r="Z1658" s="303"/>
      <c r="AA1658" s="303"/>
      <c r="AB1658" s="303"/>
    </row>
    <row r="1659" spans="3:28" ht="14.25" customHeight="1">
      <c r="C1659" s="244"/>
      <c r="D1659" s="26"/>
      <c r="E1659" s="26"/>
      <c r="F1659" s="26"/>
      <c r="G1659" s="26"/>
      <c r="H1659" s="5"/>
      <c r="T1659" s="114"/>
      <c r="U1659" s="114"/>
      <c r="V1659" s="114"/>
      <c r="W1659" s="114"/>
      <c r="X1659" s="303"/>
      <c r="Y1659" s="303"/>
      <c r="Z1659" s="303"/>
      <c r="AA1659" s="303"/>
      <c r="AB1659" s="303"/>
    </row>
    <row r="1660" spans="3:28" ht="14.25" customHeight="1">
      <c r="C1660" s="244"/>
      <c r="D1660" s="26"/>
      <c r="E1660" s="26"/>
      <c r="F1660" s="26"/>
      <c r="G1660" s="26"/>
      <c r="H1660" s="5"/>
      <c r="T1660" s="114"/>
      <c r="U1660" s="114"/>
      <c r="V1660" s="114"/>
      <c r="W1660" s="114"/>
      <c r="X1660" s="303"/>
      <c r="Y1660" s="303"/>
      <c r="Z1660" s="303"/>
      <c r="AA1660" s="303"/>
      <c r="AB1660" s="303"/>
    </row>
    <row r="1661" spans="3:28" ht="14.25" customHeight="1">
      <c r="C1661" s="244"/>
      <c r="D1661" s="26"/>
      <c r="E1661" s="26"/>
      <c r="F1661" s="26"/>
      <c r="G1661" s="26"/>
      <c r="H1661" s="5"/>
      <c r="T1661" s="114"/>
      <c r="U1661" s="114"/>
      <c r="V1661" s="114"/>
      <c r="W1661" s="114"/>
      <c r="X1661" s="303"/>
      <c r="Y1661" s="303"/>
      <c r="Z1661" s="303"/>
      <c r="AA1661" s="303"/>
      <c r="AB1661" s="303"/>
    </row>
    <row r="1662" spans="3:28" ht="14.25" customHeight="1">
      <c r="C1662" s="244"/>
      <c r="D1662" s="26"/>
      <c r="E1662" s="26"/>
      <c r="F1662" s="26"/>
      <c r="G1662" s="26"/>
      <c r="H1662" s="5"/>
      <c r="T1662" s="114"/>
      <c r="U1662" s="114"/>
      <c r="V1662" s="114"/>
      <c r="W1662" s="114"/>
      <c r="X1662" s="303"/>
      <c r="Y1662" s="303"/>
      <c r="Z1662" s="303"/>
      <c r="AA1662" s="303"/>
      <c r="AB1662" s="303"/>
    </row>
    <row r="1663" spans="3:28" ht="14.25" customHeight="1">
      <c r="C1663" s="244"/>
      <c r="D1663" s="26"/>
      <c r="E1663" s="26"/>
      <c r="F1663" s="26"/>
      <c r="G1663" s="26"/>
      <c r="H1663" s="5"/>
      <c r="T1663" s="114"/>
      <c r="U1663" s="114"/>
      <c r="V1663" s="114"/>
      <c r="W1663" s="114"/>
      <c r="X1663" s="303"/>
      <c r="Y1663" s="303"/>
      <c r="Z1663" s="303"/>
      <c r="AA1663" s="303"/>
      <c r="AB1663" s="303"/>
    </row>
    <row r="1664" spans="3:28" ht="14.25" customHeight="1">
      <c r="C1664" s="244"/>
      <c r="D1664" s="26"/>
      <c r="E1664" s="26"/>
      <c r="F1664" s="26"/>
      <c r="G1664" s="26"/>
      <c r="H1664" s="5"/>
      <c r="T1664" s="114"/>
      <c r="U1664" s="114"/>
      <c r="V1664" s="114"/>
      <c r="W1664" s="114"/>
      <c r="X1664" s="303"/>
      <c r="Y1664" s="303"/>
      <c r="Z1664" s="303"/>
      <c r="AA1664" s="303"/>
      <c r="AB1664" s="303"/>
    </row>
    <row r="1665" spans="3:28" ht="14.25" customHeight="1">
      <c r="C1665" s="244"/>
      <c r="D1665" s="26"/>
      <c r="E1665" s="26"/>
      <c r="F1665" s="26"/>
      <c r="G1665" s="26"/>
      <c r="H1665" s="5"/>
      <c r="T1665" s="114"/>
      <c r="U1665" s="114"/>
      <c r="V1665" s="114"/>
      <c r="W1665" s="114"/>
      <c r="X1665" s="303"/>
      <c r="Y1665" s="303"/>
      <c r="Z1665" s="303"/>
      <c r="AA1665" s="303"/>
      <c r="AB1665" s="303"/>
    </row>
    <row r="1666" spans="3:28" ht="14.25" customHeight="1">
      <c r="C1666" s="244"/>
      <c r="D1666" s="26"/>
      <c r="E1666" s="26"/>
      <c r="F1666" s="26"/>
      <c r="G1666" s="26"/>
      <c r="H1666" s="5"/>
      <c r="T1666" s="114"/>
      <c r="U1666" s="114"/>
      <c r="V1666" s="114"/>
      <c r="W1666" s="114"/>
      <c r="X1666" s="303"/>
      <c r="Y1666" s="303"/>
      <c r="Z1666" s="303"/>
      <c r="AA1666" s="303"/>
      <c r="AB1666" s="303"/>
    </row>
    <row r="1667" spans="3:28" ht="14.25" customHeight="1">
      <c r="C1667" s="244"/>
      <c r="D1667" s="26"/>
      <c r="E1667" s="26"/>
      <c r="F1667" s="26"/>
      <c r="G1667" s="26"/>
      <c r="H1667" s="5"/>
      <c r="T1667" s="114"/>
      <c r="U1667" s="114"/>
      <c r="V1667" s="114"/>
      <c r="W1667" s="114"/>
      <c r="X1667" s="303"/>
      <c r="Y1667" s="303"/>
      <c r="Z1667" s="303"/>
      <c r="AA1667" s="303"/>
      <c r="AB1667" s="303"/>
    </row>
    <row r="1668" spans="3:28" ht="14.25" customHeight="1">
      <c r="C1668" s="244"/>
      <c r="D1668" s="26"/>
      <c r="E1668" s="26"/>
      <c r="F1668" s="26"/>
      <c r="G1668" s="26"/>
      <c r="H1668" s="5"/>
      <c r="T1668" s="114"/>
      <c r="U1668" s="114"/>
      <c r="V1668" s="114"/>
      <c r="W1668" s="114"/>
      <c r="X1668" s="303"/>
      <c r="Y1668" s="303"/>
      <c r="Z1668" s="303"/>
      <c r="AA1668" s="303"/>
      <c r="AB1668" s="303"/>
    </row>
    <row r="1669" spans="3:28" ht="14.25" customHeight="1">
      <c r="C1669" s="244"/>
      <c r="D1669" s="26"/>
      <c r="E1669" s="26"/>
      <c r="F1669" s="26"/>
      <c r="G1669" s="26"/>
      <c r="H1669" s="5"/>
      <c r="T1669" s="114"/>
      <c r="U1669" s="114"/>
      <c r="V1669" s="114"/>
      <c r="W1669" s="114"/>
      <c r="X1669" s="303"/>
      <c r="Y1669" s="303"/>
      <c r="Z1669" s="303"/>
      <c r="AA1669" s="303"/>
      <c r="AB1669" s="303"/>
    </row>
    <row r="1670" spans="3:28" ht="14.25" customHeight="1">
      <c r="C1670" s="244"/>
      <c r="D1670" s="26"/>
      <c r="E1670" s="26"/>
      <c r="F1670" s="26"/>
      <c r="G1670" s="26"/>
      <c r="H1670" s="5"/>
      <c r="T1670" s="114"/>
      <c r="U1670" s="114"/>
      <c r="V1670" s="114"/>
      <c r="W1670" s="114"/>
      <c r="X1670" s="303"/>
      <c r="Y1670" s="303"/>
      <c r="Z1670" s="303"/>
      <c r="AA1670" s="303"/>
      <c r="AB1670" s="303"/>
    </row>
    <row r="1671" spans="3:28" ht="14.25" customHeight="1">
      <c r="C1671" s="244"/>
      <c r="D1671" s="26"/>
      <c r="E1671" s="26"/>
      <c r="F1671" s="26"/>
      <c r="G1671" s="26"/>
      <c r="H1671" s="5"/>
      <c r="T1671" s="114"/>
      <c r="U1671" s="114"/>
      <c r="V1671" s="114"/>
      <c r="W1671" s="114"/>
      <c r="X1671" s="303"/>
      <c r="Y1671" s="303"/>
      <c r="Z1671" s="303"/>
      <c r="AA1671" s="303"/>
      <c r="AB1671" s="303"/>
    </row>
    <row r="1672" spans="3:28" ht="14.25" customHeight="1">
      <c r="C1672" s="244"/>
      <c r="D1672" s="26"/>
      <c r="E1672" s="26"/>
      <c r="F1672" s="26"/>
      <c r="G1672" s="26"/>
      <c r="H1672" s="5"/>
      <c r="T1672" s="114"/>
      <c r="U1672" s="114"/>
      <c r="V1672" s="114"/>
      <c r="W1672" s="114"/>
      <c r="X1672" s="303"/>
      <c r="Y1672" s="303"/>
      <c r="Z1672" s="303"/>
      <c r="AA1672" s="303"/>
      <c r="AB1672" s="303"/>
    </row>
    <row r="1673" spans="3:28" ht="14.25" customHeight="1">
      <c r="C1673" s="244"/>
      <c r="D1673" s="26"/>
      <c r="E1673" s="26"/>
      <c r="F1673" s="26"/>
      <c r="G1673" s="26"/>
      <c r="H1673" s="5"/>
      <c r="T1673" s="114"/>
      <c r="U1673" s="114"/>
      <c r="V1673" s="114"/>
      <c r="W1673" s="114"/>
      <c r="X1673" s="303"/>
      <c r="Y1673" s="303"/>
      <c r="Z1673" s="303"/>
      <c r="AA1673" s="303"/>
      <c r="AB1673" s="303"/>
    </row>
    <row r="1674" spans="3:28" ht="14.25" customHeight="1">
      <c r="C1674" s="244"/>
      <c r="D1674" s="26"/>
      <c r="E1674" s="26"/>
      <c r="F1674" s="26"/>
      <c r="G1674" s="26"/>
      <c r="H1674" s="5"/>
      <c r="T1674" s="114"/>
      <c r="U1674" s="114"/>
      <c r="V1674" s="114"/>
      <c r="W1674" s="114"/>
      <c r="X1674" s="303"/>
      <c r="Y1674" s="303"/>
      <c r="Z1674" s="303"/>
      <c r="AA1674" s="303"/>
      <c r="AB1674" s="303"/>
    </row>
    <row r="1675" spans="3:28" ht="14.25" customHeight="1">
      <c r="C1675" s="244"/>
      <c r="D1675" s="26"/>
      <c r="E1675" s="26"/>
      <c r="F1675" s="26"/>
      <c r="G1675" s="26"/>
      <c r="H1675" s="5"/>
      <c r="T1675" s="114"/>
      <c r="U1675" s="114"/>
      <c r="V1675" s="114"/>
      <c r="W1675" s="114"/>
      <c r="X1675" s="303"/>
      <c r="Y1675" s="303"/>
      <c r="Z1675" s="303"/>
      <c r="AA1675" s="303"/>
      <c r="AB1675" s="303"/>
    </row>
    <row r="1676" spans="3:28" ht="14.25" customHeight="1">
      <c r="C1676" s="244"/>
      <c r="D1676" s="26"/>
      <c r="E1676" s="26"/>
      <c r="F1676" s="26"/>
      <c r="G1676" s="26"/>
      <c r="H1676" s="5"/>
      <c r="T1676" s="114"/>
      <c r="U1676" s="114"/>
      <c r="V1676" s="114"/>
      <c r="W1676" s="114"/>
      <c r="X1676" s="303"/>
      <c r="Y1676" s="303"/>
      <c r="Z1676" s="303"/>
      <c r="AA1676" s="303"/>
      <c r="AB1676" s="303"/>
    </row>
    <row r="1677" spans="3:28" ht="14.25" customHeight="1">
      <c r="C1677" s="244"/>
      <c r="D1677" s="26"/>
      <c r="E1677" s="26"/>
      <c r="F1677" s="26"/>
      <c r="G1677" s="26"/>
      <c r="H1677" s="5"/>
      <c r="T1677" s="114"/>
      <c r="U1677" s="114"/>
      <c r="V1677" s="114"/>
      <c r="W1677" s="114"/>
      <c r="X1677" s="303"/>
      <c r="Y1677" s="303"/>
      <c r="Z1677" s="303"/>
      <c r="AA1677" s="303"/>
      <c r="AB1677" s="303"/>
    </row>
    <row r="1678" spans="3:28" ht="14.25" customHeight="1">
      <c r="C1678" s="244"/>
      <c r="D1678" s="26"/>
      <c r="E1678" s="26"/>
      <c r="F1678" s="26"/>
      <c r="G1678" s="26"/>
      <c r="H1678" s="5"/>
      <c r="T1678" s="114"/>
      <c r="U1678" s="114"/>
      <c r="V1678" s="114"/>
      <c r="W1678" s="114"/>
      <c r="X1678" s="303"/>
      <c r="Y1678" s="303"/>
      <c r="Z1678" s="303"/>
      <c r="AA1678" s="303"/>
      <c r="AB1678" s="303"/>
    </row>
    <row r="1679" spans="3:28" ht="14.25" customHeight="1">
      <c r="C1679" s="244"/>
      <c r="D1679" s="26"/>
      <c r="E1679" s="26"/>
      <c r="F1679" s="26"/>
      <c r="G1679" s="26"/>
      <c r="H1679" s="5"/>
      <c r="T1679" s="114"/>
      <c r="U1679" s="114"/>
      <c r="V1679" s="114"/>
      <c r="W1679" s="114"/>
      <c r="X1679" s="303"/>
      <c r="Y1679" s="303"/>
      <c r="Z1679" s="303"/>
      <c r="AA1679" s="303"/>
      <c r="AB1679" s="303"/>
    </row>
    <row r="1680" spans="3:28" ht="14.25" customHeight="1">
      <c r="C1680" s="244"/>
      <c r="D1680" s="26"/>
      <c r="E1680" s="26"/>
      <c r="F1680" s="26"/>
      <c r="G1680" s="26"/>
      <c r="H1680" s="5"/>
      <c r="T1680" s="114"/>
      <c r="U1680" s="114"/>
      <c r="V1680" s="114"/>
      <c r="W1680" s="114"/>
      <c r="X1680" s="303"/>
      <c r="Y1680" s="303"/>
      <c r="Z1680" s="303"/>
      <c r="AA1680" s="303"/>
      <c r="AB1680" s="303"/>
    </row>
    <row r="1681" spans="3:28" ht="14.25" customHeight="1">
      <c r="C1681" s="244"/>
      <c r="D1681" s="26"/>
      <c r="E1681" s="26"/>
      <c r="F1681" s="26"/>
      <c r="G1681" s="26"/>
      <c r="H1681" s="5"/>
      <c r="T1681" s="114"/>
      <c r="U1681" s="114"/>
      <c r="V1681" s="114"/>
      <c r="W1681" s="114"/>
      <c r="X1681" s="303"/>
      <c r="Y1681" s="303"/>
      <c r="Z1681" s="303"/>
      <c r="AA1681" s="303"/>
      <c r="AB1681" s="303"/>
    </row>
    <row r="1682" spans="3:28" ht="14.25" customHeight="1">
      <c r="C1682" s="244"/>
      <c r="D1682" s="26"/>
      <c r="E1682" s="26"/>
      <c r="F1682" s="26"/>
      <c r="G1682" s="26"/>
      <c r="H1682" s="5"/>
      <c r="T1682" s="114"/>
      <c r="U1682" s="114"/>
      <c r="V1682" s="114"/>
      <c r="W1682" s="114"/>
      <c r="X1682" s="303"/>
      <c r="Y1682" s="303"/>
      <c r="Z1682" s="303"/>
      <c r="AA1682" s="303"/>
      <c r="AB1682" s="303"/>
    </row>
    <row r="1683" spans="3:28" ht="14.25" customHeight="1">
      <c r="C1683" s="244"/>
      <c r="D1683" s="26"/>
      <c r="E1683" s="26"/>
      <c r="F1683" s="26"/>
      <c r="G1683" s="26"/>
      <c r="H1683" s="5"/>
      <c r="T1683" s="114"/>
      <c r="U1683" s="114"/>
      <c r="V1683" s="114"/>
      <c r="W1683" s="114"/>
      <c r="X1683" s="303"/>
      <c r="Y1683" s="303"/>
      <c r="Z1683" s="303"/>
      <c r="AA1683" s="303"/>
      <c r="AB1683" s="303"/>
    </row>
    <row r="1684" spans="3:28" ht="14.25" customHeight="1">
      <c r="C1684" s="244"/>
      <c r="D1684" s="26"/>
      <c r="E1684" s="26"/>
      <c r="F1684" s="26"/>
      <c r="G1684" s="26"/>
      <c r="H1684" s="5"/>
      <c r="T1684" s="114"/>
      <c r="U1684" s="114"/>
      <c r="V1684" s="114"/>
      <c r="W1684" s="114"/>
      <c r="X1684" s="303"/>
      <c r="Y1684" s="303"/>
      <c r="Z1684" s="303"/>
      <c r="AA1684" s="303"/>
      <c r="AB1684" s="303"/>
    </row>
    <row r="1685" spans="3:28" ht="14.25" customHeight="1">
      <c r="C1685" s="244"/>
      <c r="D1685" s="26"/>
      <c r="E1685" s="26"/>
      <c r="F1685" s="26"/>
      <c r="G1685" s="26"/>
      <c r="H1685" s="5"/>
      <c r="T1685" s="114"/>
      <c r="U1685" s="114"/>
      <c r="V1685" s="114"/>
      <c r="W1685" s="114"/>
      <c r="X1685" s="303"/>
      <c r="Y1685" s="303"/>
      <c r="Z1685" s="303"/>
      <c r="AA1685" s="303"/>
      <c r="AB1685" s="303"/>
    </row>
    <row r="1686" spans="3:28" ht="14.25" customHeight="1">
      <c r="C1686" s="244"/>
      <c r="D1686" s="26"/>
      <c r="E1686" s="26"/>
      <c r="F1686" s="26"/>
      <c r="G1686" s="26"/>
      <c r="H1686" s="5"/>
      <c r="T1686" s="114"/>
      <c r="U1686" s="114"/>
      <c r="V1686" s="114"/>
      <c r="W1686" s="114"/>
      <c r="X1686" s="303"/>
      <c r="Y1686" s="303"/>
      <c r="Z1686" s="303"/>
      <c r="AA1686" s="303"/>
      <c r="AB1686" s="303"/>
    </row>
    <row r="1687" spans="3:28" ht="14.25" customHeight="1">
      <c r="C1687" s="244"/>
      <c r="D1687" s="26"/>
      <c r="E1687" s="26"/>
      <c r="F1687" s="26"/>
      <c r="G1687" s="26"/>
      <c r="H1687" s="5"/>
      <c r="T1687" s="114"/>
      <c r="U1687" s="114"/>
      <c r="V1687" s="114"/>
      <c r="W1687" s="114"/>
    </row>
    <row r="1688" spans="3:28" ht="14.25" customHeight="1">
      <c r="C1688" s="244"/>
      <c r="D1688" s="26"/>
      <c r="E1688" s="26"/>
      <c r="F1688" s="26"/>
      <c r="G1688" s="26"/>
      <c r="H1688" s="5"/>
      <c r="T1688" s="114"/>
      <c r="U1688" s="114"/>
      <c r="V1688" s="114"/>
      <c r="W1688" s="114"/>
    </row>
    <row r="1689" spans="3:28" ht="14.25" customHeight="1">
      <c r="C1689" s="244"/>
      <c r="D1689" s="26"/>
      <c r="E1689" s="26"/>
      <c r="F1689" s="26"/>
      <c r="G1689" s="26"/>
      <c r="H1689" s="5"/>
      <c r="T1689" s="114"/>
      <c r="U1689" s="114"/>
      <c r="V1689" s="114"/>
      <c r="W1689" s="114"/>
    </row>
    <row r="1690" spans="3:28" ht="14.25" customHeight="1">
      <c r="C1690" s="244"/>
      <c r="D1690" s="26"/>
      <c r="E1690" s="26"/>
      <c r="F1690" s="26"/>
      <c r="G1690" s="26"/>
      <c r="H1690" s="5"/>
      <c r="T1690" s="114"/>
      <c r="U1690" s="114"/>
      <c r="V1690" s="114"/>
      <c r="W1690" s="114"/>
    </row>
    <row r="1691" spans="3:28" ht="14.25" customHeight="1">
      <c r="C1691" s="244"/>
      <c r="D1691" s="26"/>
      <c r="E1691" s="26"/>
      <c r="F1691" s="26"/>
      <c r="G1691" s="26"/>
      <c r="H1691" s="5"/>
      <c r="T1691" s="114"/>
      <c r="U1691" s="114"/>
      <c r="V1691" s="114"/>
      <c r="W1691" s="114"/>
    </row>
    <row r="1692" spans="3:28" ht="14.25" customHeight="1">
      <c r="C1692" s="244"/>
      <c r="D1692" s="26"/>
      <c r="E1692" s="26"/>
      <c r="F1692" s="26"/>
      <c r="G1692" s="26"/>
      <c r="H1692" s="5"/>
      <c r="T1692" s="114"/>
      <c r="U1692" s="114"/>
      <c r="V1692" s="114"/>
      <c r="W1692" s="114"/>
    </row>
    <row r="1693" spans="3:28" ht="14.25" customHeight="1">
      <c r="C1693" s="244"/>
      <c r="D1693" s="26"/>
      <c r="E1693" s="26"/>
      <c r="F1693" s="26"/>
      <c r="G1693" s="26"/>
      <c r="H1693" s="5"/>
      <c r="T1693" s="114"/>
      <c r="U1693" s="114"/>
      <c r="V1693" s="114"/>
      <c r="W1693" s="114"/>
    </row>
    <row r="1694" spans="3:28" ht="14.25" customHeight="1">
      <c r="C1694" s="244"/>
      <c r="D1694" s="26"/>
      <c r="E1694" s="26"/>
      <c r="F1694" s="26"/>
      <c r="G1694" s="26"/>
      <c r="H1694" s="5"/>
      <c r="T1694" s="114"/>
      <c r="U1694" s="114"/>
      <c r="V1694" s="114"/>
      <c r="W1694" s="114"/>
    </row>
    <row r="1695" spans="3:28" ht="14.25" customHeight="1">
      <c r="C1695" s="244"/>
      <c r="D1695" s="26"/>
      <c r="E1695" s="26"/>
      <c r="F1695" s="26"/>
      <c r="G1695" s="26"/>
      <c r="H1695" s="5"/>
      <c r="T1695" s="114"/>
      <c r="U1695" s="114"/>
      <c r="V1695" s="114"/>
      <c r="W1695" s="114"/>
    </row>
    <row r="1696" spans="3:28" ht="14.25" customHeight="1">
      <c r="C1696" s="244"/>
      <c r="D1696" s="26"/>
      <c r="E1696" s="26"/>
      <c r="F1696" s="26"/>
      <c r="G1696" s="26"/>
      <c r="H1696" s="5"/>
      <c r="T1696" s="114"/>
      <c r="U1696" s="114"/>
      <c r="V1696" s="114"/>
      <c r="W1696" s="114"/>
    </row>
    <row r="1697" spans="3:23" ht="14.25" customHeight="1">
      <c r="C1697" s="244"/>
      <c r="D1697" s="26"/>
      <c r="E1697" s="26"/>
      <c r="F1697" s="26"/>
      <c r="G1697" s="26"/>
      <c r="H1697" s="5"/>
      <c r="T1697" s="114"/>
      <c r="U1697" s="114"/>
      <c r="V1697" s="114"/>
      <c r="W1697" s="114"/>
    </row>
    <row r="1698" spans="3:23" ht="14.25" customHeight="1">
      <c r="C1698" s="244"/>
      <c r="D1698" s="26"/>
      <c r="E1698" s="26"/>
      <c r="F1698" s="26"/>
      <c r="G1698" s="26"/>
      <c r="H1698" s="5"/>
      <c r="T1698" s="114"/>
      <c r="U1698" s="114"/>
      <c r="V1698" s="114"/>
      <c r="W1698" s="114"/>
    </row>
    <row r="1699" spans="3:23" ht="14.25" customHeight="1">
      <c r="C1699" s="244"/>
      <c r="D1699" s="26"/>
      <c r="E1699" s="26"/>
      <c r="F1699" s="26"/>
      <c r="G1699" s="26"/>
      <c r="H1699" s="5"/>
      <c r="T1699" s="114"/>
      <c r="U1699" s="114"/>
      <c r="V1699" s="114"/>
      <c r="W1699" s="114"/>
    </row>
    <row r="1700" spans="3:23" ht="14.25" customHeight="1">
      <c r="C1700" s="244"/>
      <c r="D1700" s="26"/>
      <c r="E1700" s="26"/>
      <c r="F1700" s="26"/>
      <c r="G1700" s="26"/>
      <c r="H1700" s="5"/>
      <c r="T1700" s="114"/>
      <c r="U1700" s="114"/>
      <c r="V1700" s="114"/>
      <c r="W1700" s="114"/>
    </row>
    <row r="1701" spans="3:23" ht="14.25" customHeight="1">
      <c r="C1701" s="244"/>
      <c r="D1701" s="26"/>
      <c r="E1701" s="26"/>
      <c r="F1701" s="26"/>
      <c r="G1701" s="26"/>
      <c r="H1701" s="5"/>
      <c r="T1701" s="114"/>
      <c r="U1701" s="114"/>
      <c r="V1701" s="114"/>
      <c r="W1701" s="114"/>
    </row>
    <row r="1702" spans="3:23" ht="14.25" customHeight="1">
      <c r="C1702" s="244"/>
      <c r="D1702" s="26"/>
      <c r="E1702" s="26"/>
      <c r="F1702" s="26"/>
      <c r="G1702" s="26"/>
      <c r="H1702" s="5"/>
      <c r="T1702" s="114"/>
      <c r="U1702" s="114"/>
      <c r="V1702" s="114"/>
      <c r="W1702" s="114"/>
    </row>
    <row r="1703" spans="3:23" ht="14.25" customHeight="1">
      <c r="C1703" s="244"/>
      <c r="D1703" s="26"/>
      <c r="E1703" s="26"/>
      <c r="F1703" s="26"/>
      <c r="G1703" s="26"/>
      <c r="H1703" s="5"/>
      <c r="T1703" s="114"/>
      <c r="U1703" s="114"/>
      <c r="V1703" s="114"/>
      <c r="W1703" s="114"/>
    </row>
    <row r="1704" spans="3:23" ht="14.25" customHeight="1">
      <c r="C1704" s="244"/>
      <c r="D1704" s="26"/>
      <c r="E1704" s="26"/>
      <c r="F1704" s="26"/>
      <c r="G1704" s="26"/>
      <c r="H1704" s="5"/>
      <c r="T1704" s="114"/>
      <c r="U1704" s="114"/>
      <c r="V1704" s="114"/>
      <c r="W1704" s="114"/>
    </row>
    <row r="1705" spans="3:23" ht="14.25" customHeight="1">
      <c r="C1705" s="244"/>
      <c r="D1705" s="26"/>
      <c r="E1705" s="26"/>
      <c r="F1705" s="26"/>
      <c r="G1705" s="26"/>
      <c r="H1705" s="5"/>
      <c r="T1705" s="114"/>
      <c r="U1705" s="114"/>
      <c r="V1705" s="114"/>
      <c r="W1705" s="114"/>
    </row>
    <row r="1706" spans="3:23" ht="14.25" customHeight="1">
      <c r="C1706" s="244"/>
      <c r="D1706" s="26"/>
      <c r="E1706" s="26"/>
      <c r="F1706" s="26"/>
      <c r="G1706" s="26"/>
      <c r="H1706" s="5"/>
      <c r="T1706" s="114"/>
      <c r="U1706" s="114"/>
      <c r="V1706" s="114"/>
      <c r="W1706" s="114"/>
    </row>
    <row r="1707" spans="3:23" ht="14.25" customHeight="1">
      <c r="C1707" s="244"/>
      <c r="D1707" s="26"/>
      <c r="E1707" s="26"/>
      <c r="F1707" s="26"/>
      <c r="G1707" s="26"/>
      <c r="H1707" s="5"/>
      <c r="T1707" s="114"/>
      <c r="U1707" s="114"/>
      <c r="V1707" s="114"/>
      <c r="W1707" s="114"/>
    </row>
    <row r="1708" spans="3:23" ht="14.25" customHeight="1">
      <c r="C1708" s="244"/>
      <c r="D1708" s="26"/>
      <c r="E1708" s="26"/>
      <c r="F1708" s="26"/>
      <c r="G1708" s="26"/>
      <c r="H1708" s="5"/>
      <c r="T1708" s="114"/>
      <c r="U1708" s="114"/>
      <c r="V1708" s="114"/>
      <c r="W1708" s="114"/>
    </row>
    <row r="1709" spans="3:23" ht="14.25" customHeight="1">
      <c r="C1709" s="244"/>
      <c r="D1709" s="26"/>
      <c r="E1709" s="26"/>
      <c r="F1709" s="26"/>
      <c r="G1709" s="26"/>
      <c r="H1709" s="5"/>
      <c r="T1709" s="114"/>
      <c r="U1709" s="114"/>
      <c r="V1709" s="114"/>
      <c r="W1709" s="114"/>
    </row>
    <row r="1710" spans="3:23" ht="14.25" customHeight="1">
      <c r="C1710" s="244"/>
      <c r="D1710" s="26"/>
      <c r="E1710" s="26"/>
      <c r="F1710" s="26"/>
      <c r="G1710" s="26"/>
      <c r="H1710" s="5"/>
      <c r="T1710" s="114"/>
      <c r="U1710" s="114"/>
      <c r="V1710" s="114"/>
      <c r="W1710" s="114"/>
    </row>
    <row r="1711" spans="3:23" ht="14.25" customHeight="1">
      <c r="C1711" s="244"/>
      <c r="D1711" s="26"/>
      <c r="E1711" s="26"/>
      <c r="F1711" s="26"/>
      <c r="G1711" s="26"/>
      <c r="H1711" s="5"/>
      <c r="T1711" s="114"/>
      <c r="U1711" s="114"/>
      <c r="V1711" s="114"/>
      <c r="W1711" s="114"/>
    </row>
    <row r="1712" spans="3:23" ht="14.25" customHeight="1">
      <c r="C1712" s="244"/>
      <c r="D1712" s="26"/>
      <c r="E1712" s="26"/>
      <c r="F1712" s="26"/>
      <c r="G1712" s="26"/>
      <c r="H1712" s="5"/>
    </row>
    <row r="1713" spans="3:8" ht="14.25" customHeight="1">
      <c r="C1713" s="244"/>
      <c r="D1713" s="26"/>
      <c r="E1713" s="26"/>
      <c r="F1713" s="26"/>
      <c r="G1713" s="26"/>
      <c r="H1713" s="5"/>
    </row>
    <row r="1714" spans="3:8" ht="14.25" customHeight="1">
      <c r="C1714" s="244"/>
      <c r="D1714" s="26"/>
      <c r="E1714" s="26"/>
      <c r="F1714" s="26"/>
      <c r="G1714" s="26"/>
      <c r="H1714" s="5"/>
    </row>
    <row r="1715" spans="3:8" ht="14.25" customHeight="1">
      <c r="C1715" s="244"/>
      <c r="D1715" s="26"/>
      <c r="E1715" s="26"/>
      <c r="F1715" s="26"/>
      <c r="G1715" s="26"/>
      <c r="H1715" s="5"/>
    </row>
    <row r="1716" spans="3:8" ht="14.25" customHeight="1">
      <c r="C1716" s="244"/>
      <c r="D1716" s="26"/>
      <c r="E1716" s="26"/>
      <c r="F1716" s="26"/>
      <c r="G1716" s="26"/>
      <c r="H1716" s="5"/>
    </row>
    <row r="1717" spans="3:8" ht="14.25" customHeight="1">
      <c r="C1717" s="244"/>
      <c r="D1717" s="26"/>
      <c r="E1717" s="26"/>
      <c r="F1717" s="26"/>
      <c r="G1717" s="26"/>
      <c r="H1717" s="5"/>
    </row>
    <row r="1718" spans="3:8" ht="14.25" customHeight="1">
      <c r="C1718" s="244"/>
      <c r="D1718" s="26"/>
      <c r="E1718" s="26"/>
      <c r="F1718" s="26"/>
      <c r="G1718" s="26"/>
      <c r="H1718" s="5"/>
    </row>
    <row r="1719" spans="3:8" ht="14.25" customHeight="1">
      <c r="C1719" s="244"/>
      <c r="D1719" s="26"/>
      <c r="E1719" s="26"/>
      <c r="F1719" s="26"/>
      <c r="G1719" s="26"/>
      <c r="H1719" s="5"/>
    </row>
    <row r="1720" spans="3:8" ht="14.25" customHeight="1">
      <c r="C1720" s="244"/>
      <c r="D1720" s="26"/>
      <c r="E1720" s="26"/>
      <c r="F1720" s="26"/>
      <c r="G1720" s="26"/>
      <c r="H1720" s="5"/>
    </row>
    <row r="1721" spans="3:8" ht="14.25" customHeight="1">
      <c r="C1721" s="244"/>
      <c r="D1721" s="26"/>
      <c r="E1721" s="26"/>
      <c r="F1721" s="26"/>
      <c r="G1721" s="26"/>
      <c r="H1721" s="5"/>
    </row>
    <row r="1722" spans="3:8" ht="14.25" customHeight="1">
      <c r="C1722" s="244"/>
      <c r="D1722" s="26"/>
      <c r="E1722" s="26"/>
      <c r="F1722" s="26"/>
      <c r="G1722" s="26"/>
      <c r="H1722" s="5"/>
    </row>
    <row r="1723" spans="3:8" ht="14.25" customHeight="1">
      <c r="C1723" s="244"/>
      <c r="D1723" s="26"/>
      <c r="E1723" s="26"/>
      <c r="F1723" s="26"/>
      <c r="G1723" s="26"/>
      <c r="H1723" s="5"/>
    </row>
    <row r="1724" spans="3:8" ht="14.25" customHeight="1">
      <c r="C1724" s="244"/>
      <c r="D1724" s="26"/>
      <c r="E1724" s="26"/>
      <c r="F1724" s="26"/>
      <c r="G1724" s="26"/>
      <c r="H1724" s="5"/>
    </row>
    <row r="1725" spans="3:8" ht="14.25" customHeight="1">
      <c r="C1725" s="244"/>
      <c r="D1725" s="26"/>
      <c r="E1725" s="26"/>
      <c r="F1725" s="26"/>
      <c r="G1725" s="26"/>
      <c r="H1725" s="5"/>
    </row>
    <row r="1726" spans="3:8" ht="14.25" customHeight="1">
      <c r="C1726" s="244"/>
      <c r="D1726" s="26"/>
      <c r="E1726" s="26"/>
      <c r="F1726" s="26"/>
      <c r="G1726" s="26"/>
      <c r="H1726" s="5"/>
    </row>
    <row r="1727" spans="3:8" ht="14.25" customHeight="1">
      <c r="C1727" s="244"/>
      <c r="D1727" s="26"/>
      <c r="E1727" s="26"/>
      <c r="F1727" s="26"/>
      <c r="G1727" s="26"/>
      <c r="H1727" s="5"/>
    </row>
    <row r="1728" spans="3:8" ht="14.25" customHeight="1">
      <c r="C1728" s="244"/>
      <c r="D1728" s="26"/>
      <c r="E1728" s="26"/>
      <c r="F1728" s="26"/>
      <c r="G1728" s="26"/>
      <c r="H1728" s="5"/>
    </row>
    <row r="1729" spans="1:46" ht="14.25" customHeight="1">
      <c r="C1729" s="244"/>
      <c r="D1729" s="26"/>
      <c r="E1729" s="26"/>
      <c r="F1729" s="26"/>
      <c r="G1729" s="26"/>
      <c r="H1729" s="5"/>
    </row>
    <row r="1730" spans="1:46" ht="14.25" customHeight="1">
      <c r="C1730" s="244"/>
      <c r="D1730" s="26"/>
      <c r="E1730" s="26"/>
      <c r="F1730" s="26"/>
      <c r="G1730" s="26"/>
      <c r="H1730" s="5"/>
    </row>
    <row r="1731" spans="1:46" ht="14.25" customHeight="1">
      <c r="C1731" s="244"/>
      <c r="D1731" s="26"/>
      <c r="E1731" s="26"/>
      <c r="F1731" s="26"/>
      <c r="G1731" s="26"/>
      <c r="H1731" s="5"/>
    </row>
    <row r="1732" spans="1:46" ht="14.25" customHeight="1">
      <c r="C1732" s="244"/>
      <c r="D1732" s="26"/>
      <c r="E1732" s="26"/>
      <c r="F1732" s="26"/>
      <c r="G1732" s="26"/>
      <c r="H1732" s="5"/>
    </row>
    <row r="1733" spans="1:46" s="8" customFormat="1">
      <c r="B1733" s="1"/>
      <c r="C1733" s="244"/>
      <c r="D1733" s="26"/>
      <c r="E1733" s="26"/>
      <c r="F1733" s="26"/>
      <c r="G1733" s="26"/>
      <c r="H1733" s="5"/>
      <c r="I1733" s="1"/>
      <c r="J1733" s="1"/>
      <c r="K1733" s="1"/>
      <c r="AN1733" s="279"/>
      <c r="AO1733" s="279"/>
      <c r="AP1733" s="279"/>
      <c r="AQ1733" s="279"/>
      <c r="AR1733" s="279"/>
      <c r="AS1733" s="279"/>
      <c r="AT1733" s="279"/>
    </row>
    <row r="1734" spans="1:46" s="8" customFormat="1" ht="12.75" customHeight="1">
      <c r="B1734" s="550" t="str">
        <f>TITLE!$C$29</f>
        <v>Полотна скляні: ЛІНЕЯ</v>
      </c>
      <c r="C1734" s="550"/>
      <c r="D1734" s="117"/>
      <c r="E1734" s="117"/>
      <c r="F1734" s="117"/>
      <c r="G1734" s="117"/>
      <c r="H1734" s="117"/>
      <c r="I1734" s="120"/>
      <c r="J1734" s="120"/>
      <c r="K1734" s="120"/>
      <c r="L1734" s="120"/>
      <c r="M1734" s="120"/>
      <c r="N1734" s="120"/>
      <c r="O1734" s="120"/>
      <c r="P1734" s="120"/>
      <c r="Q1734" s="120"/>
      <c r="R1734" s="120"/>
      <c r="S1734" s="120"/>
      <c r="T1734" s="544"/>
      <c r="U1734" s="544"/>
      <c r="V1734" s="544"/>
      <c r="W1734" s="544"/>
      <c r="AN1734" s="279"/>
      <c r="AO1734" s="279"/>
      <c r="AP1734" s="279"/>
      <c r="AQ1734" s="279"/>
      <c r="AR1734" s="279"/>
      <c r="AS1734" s="279"/>
      <c r="AT1734" s="279"/>
    </row>
    <row r="1735" spans="1:46" ht="4.5" customHeight="1">
      <c r="A1735" s="8"/>
      <c r="B1735" s="116"/>
      <c r="C1735" s="418"/>
      <c r="D1735" s="10"/>
      <c r="E1735" s="10"/>
      <c r="F1735" s="10"/>
      <c r="G1735" s="10"/>
      <c r="H1735" s="10"/>
      <c r="I1735" s="8"/>
      <c r="J1735" s="8"/>
      <c r="K1735" s="8"/>
      <c r="L1735" s="8"/>
      <c r="M1735" s="11"/>
      <c r="P1735" s="8"/>
      <c r="Q1735" s="11"/>
    </row>
    <row r="1736" spans="1:46" ht="12.75" customHeight="1">
      <c r="A1736" s="8"/>
      <c r="B1736" s="556" t="str">
        <f>IF($C$1="ENG","model","модель")</f>
        <v>модель</v>
      </c>
      <c r="C1736" s="121" t="str">
        <f>IF($C$1="ENG","cover:","покриття:")</f>
        <v>покриття:</v>
      </c>
      <c r="D1736" s="538" t="str">
        <f>IF($C$1="ENG"," VERTO-CELL","VERTO-CELL")</f>
        <v>VERTO-CELL</v>
      </c>
      <c r="E1736" s="553"/>
      <c r="F1736" s="553"/>
      <c r="G1736" s="553"/>
      <c r="H1736" s="553"/>
      <c r="I1736" s="539"/>
      <c r="J1736" s="310"/>
      <c r="K1736" s="310"/>
      <c r="L1736" s="8"/>
      <c r="M1736" s="11"/>
      <c r="P1736" s="8"/>
      <c r="Q1736" s="11"/>
      <c r="AH1736" s="1">
        <f>AF1739-AJ1739</f>
        <v>-1120</v>
      </c>
      <c r="AM1736" s="22">
        <f>AD1739-AC1739</f>
        <v>730</v>
      </c>
      <c r="AN1736" s="30">
        <f>AE1739-AC1739</f>
        <v>1120</v>
      </c>
    </row>
    <row r="1737" spans="1:46" ht="12.75" customHeight="1">
      <c r="A1737" s="8"/>
      <c r="B1737" s="557"/>
      <c r="C1737" s="122" t="str">
        <f>IF($C$1="ENG","filling:","заповнення:")</f>
        <v>заповнення:</v>
      </c>
      <c r="D1737" s="540" t="str">
        <f>IF($C$1="ENG","honeycomb core ","сотове заповнення")</f>
        <v>сотове заповнення</v>
      </c>
      <c r="E1737" s="566"/>
      <c r="F1737" s="566"/>
      <c r="G1737" s="566"/>
      <c r="H1737" s="566"/>
      <c r="I1737" s="541"/>
      <c r="J1737" s="310"/>
      <c r="K1737" s="310"/>
      <c r="L1737" s="8"/>
      <c r="M1737" s="11"/>
      <c r="P1737" s="8"/>
      <c r="Q1737" s="11"/>
      <c r="AD1737" s="22"/>
    </row>
    <row r="1738" spans="1:46">
      <c r="A1738" s="8"/>
      <c r="B1738" s="558"/>
      <c r="C1738" s="123" t="str">
        <f>IF($C$1="ENG","glazing:","скління:")</f>
        <v>скління:</v>
      </c>
      <c r="D1738" s="542" t="str">
        <f>IF($C$1="ENG","Satin","Сатин")</f>
        <v>Сатин</v>
      </c>
      <c r="E1738" s="543"/>
      <c r="F1738" s="542" t="str">
        <f>IF($C$1="ENG","Graphite / Bronze","Графіт / Бронза")</f>
        <v>Графіт / Бронза</v>
      </c>
      <c r="G1738" s="547"/>
      <c r="H1738" s="567" t="str">
        <f>IF($C$1="ENG","Triplex mat / black","Триплекс мат/чорн")</f>
        <v>Триплекс мат/чорн</v>
      </c>
      <c r="I1738" s="543"/>
      <c r="J1738" s="565"/>
      <c r="K1738" s="565"/>
      <c r="L1738" s="103"/>
      <c r="M1738" s="59"/>
      <c r="N1738" s="103"/>
      <c r="O1738" s="59"/>
      <c r="P1738" s="103"/>
      <c r="Q1738" s="59"/>
      <c r="R1738" s="103"/>
      <c r="S1738" s="59"/>
      <c r="T1738" s="103"/>
      <c r="U1738" s="20"/>
      <c r="V1738" s="103"/>
      <c r="W1738" s="20"/>
      <c r="X1738" s="22"/>
      <c r="Y1738" s="22"/>
      <c r="Z1738" s="22"/>
      <c r="AA1738" s="22"/>
      <c r="AB1738" s="22"/>
      <c r="AE1738" s="22"/>
    </row>
    <row r="1739" spans="1:46" ht="35.1" customHeight="1">
      <c r="A1739" s="8"/>
      <c r="B1739" s="13">
        <v>1</v>
      </c>
      <c r="C1739" s="14"/>
      <c r="D1739" s="15">
        <f>IF(AC1739="","",(1-$W$2)*(AC1739/1.2))</f>
        <v>4033.3333333333335</v>
      </c>
      <c r="E1739" s="266">
        <f>IF($W$5=0.2,D1739*1.2,D1739)/$W$4</f>
        <v>4840</v>
      </c>
      <c r="F1739" s="15">
        <f>IF(AD1739="","",(1-$W$2)*(AD1739/1.2))</f>
        <v>4641.666666666667</v>
      </c>
      <c r="G1739" s="266">
        <f>IF($W$5=0.2,F1739*1.2,F1739)/$W$4</f>
        <v>5570</v>
      </c>
      <c r="H1739" s="269">
        <f>IF(AE1739="","",(1-$W$2)*(AE1739/1.2))</f>
        <v>4966.666666666667</v>
      </c>
      <c r="I1739" s="64">
        <f>IF($W$5=0.2,H1739*1.2,H1739)/$W$4</f>
        <v>5960</v>
      </c>
      <c r="J1739" s="28"/>
      <c r="K1739" s="59"/>
      <c r="L1739" s="103"/>
      <c r="M1739" s="59"/>
      <c r="N1739" s="103"/>
      <c r="O1739" s="59"/>
      <c r="P1739" s="103"/>
      <c r="Q1739" s="59"/>
      <c r="R1739" s="103"/>
      <c r="S1739" s="59"/>
      <c r="T1739" s="103"/>
      <c r="U1739" s="20"/>
      <c r="V1739" s="103"/>
      <c r="W1739" s="20"/>
      <c r="AC1739" s="331">
        <v>4840</v>
      </c>
      <c r="AD1739" s="390">
        <v>5570</v>
      </c>
      <c r="AE1739" s="390">
        <v>5960</v>
      </c>
      <c r="AF1739" s="288">
        <v>4840</v>
      </c>
      <c r="AG1739" s="288">
        <f>AF1739/AC1739-1</f>
        <v>0</v>
      </c>
      <c r="AH1739" s="288">
        <v>5570</v>
      </c>
      <c r="AI1739" s="288">
        <f>AH1739/AD1739-1</f>
        <v>0</v>
      </c>
      <c r="AJ1739" s="288">
        <v>5960</v>
      </c>
      <c r="AK1739" s="288">
        <f>AJ1739/AE1739-1</f>
        <v>0</v>
      </c>
      <c r="AL1739" s="288"/>
      <c r="AO1739" s="22"/>
    </row>
    <row r="1740" spans="1:46" ht="35.1" customHeight="1">
      <c r="A1740" s="8"/>
      <c r="B1740" s="16">
        <v>3</v>
      </c>
      <c r="C1740" s="17"/>
      <c r="D1740" s="18">
        <f>IF(AC1740="","",(1-$W$2)*(AC1740/1.2))</f>
        <v>5700</v>
      </c>
      <c r="E1740" s="267">
        <f>IF($W$5=0.2,D1740*1.2,D1740)/$W$4</f>
        <v>6840</v>
      </c>
      <c r="F1740" s="18">
        <f>IF(AD1740="","",(1-$W$2)*(AD1740/1.2))</f>
        <v>6500</v>
      </c>
      <c r="G1740" s="267">
        <f>IF($W$5=0.2,F1740*1.2,F1740)/$W$4</f>
        <v>7800</v>
      </c>
      <c r="H1740" s="270">
        <f>IF(AE1740="","",(1-$W$2)*(AE1740/1.2))</f>
        <v>6825</v>
      </c>
      <c r="I1740" s="66">
        <f>IF($W$5=0.2,H1740*1.2,H1740)/$W$4</f>
        <v>8190</v>
      </c>
      <c r="J1740" s="28"/>
      <c r="K1740" s="59"/>
      <c r="L1740" s="103"/>
      <c r="M1740" s="59"/>
      <c r="N1740" s="103"/>
      <c r="O1740" s="59"/>
      <c r="P1740" s="103"/>
      <c r="Q1740" s="59"/>
      <c r="R1740" s="103"/>
      <c r="S1740" s="59"/>
      <c r="T1740" s="103"/>
      <c r="U1740" s="20"/>
      <c r="V1740" s="103"/>
      <c r="W1740" s="20"/>
      <c r="AC1740" s="331">
        <v>6840</v>
      </c>
      <c r="AD1740" s="390">
        <v>7800</v>
      </c>
      <c r="AE1740" s="390">
        <v>8190</v>
      </c>
      <c r="AF1740" s="288">
        <v>6840</v>
      </c>
      <c r="AG1740" s="288">
        <f t="shared" ref="AG1740:AG1741" si="221">AF1740/AC1740-1</f>
        <v>0</v>
      </c>
      <c r="AH1740" s="288">
        <v>7800</v>
      </c>
      <c r="AI1740" s="288">
        <f t="shared" ref="AI1740:AI1741" si="222">AH1740/AD1740-1</f>
        <v>0</v>
      </c>
      <c r="AJ1740" s="288">
        <v>8190</v>
      </c>
      <c r="AK1740" s="288">
        <f t="shared" ref="AK1740:AK1741" si="223">AJ1740/AE1740-1</f>
        <v>0</v>
      </c>
      <c r="AL1740" s="288"/>
      <c r="AM1740" s="22"/>
      <c r="AO1740" s="22"/>
    </row>
    <row r="1741" spans="1:46" ht="34.5" customHeight="1">
      <c r="B1741" s="23">
        <v>4</v>
      </c>
      <c r="C1741" s="24"/>
      <c r="D1741" s="25">
        <f>IF(AC1741="","",(1-$W$2)*(AC1741/1.2))</f>
        <v>6016.666666666667</v>
      </c>
      <c r="E1741" s="268">
        <f>IF($W$5=0.2,D1741*1.2,D1741)/$W$4</f>
        <v>7220</v>
      </c>
      <c r="F1741" s="25">
        <f>IF(AD1741="","",(1-$W$2)*(AD1741/1.2))</f>
        <v>6933.3333333333339</v>
      </c>
      <c r="G1741" s="268">
        <f>IF($W$5=0.2,F1741*1.2,F1741)/$W$4</f>
        <v>8320</v>
      </c>
      <c r="H1741" s="271">
        <f>IF(AE1741="","",(1-$W$2)*(AE1741/1.2))</f>
        <v>7416.666666666667</v>
      </c>
      <c r="I1741" s="69">
        <f>IF($W$5=0.2,H1741*1.2,H1741)/$W$4</f>
        <v>8900</v>
      </c>
      <c r="J1741" s="28"/>
      <c r="K1741" s="59"/>
      <c r="L1741" s="8"/>
      <c r="O1741" s="59"/>
      <c r="P1741" s="8"/>
      <c r="S1741" s="59"/>
      <c r="T1741" s="103"/>
      <c r="U1741" s="20"/>
      <c r="AC1741" s="331">
        <v>7220</v>
      </c>
      <c r="AD1741" s="390">
        <v>8320</v>
      </c>
      <c r="AE1741" s="390">
        <v>8900</v>
      </c>
      <c r="AF1741" s="288">
        <v>7220</v>
      </c>
      <c r="AG1741" s="288">
        <f t="shared" si="221"/>
        <v>0</v>
      </c>
      <c r="AH1741" s="288">
        <v>8320</v>
      </c>
      <c r="AI1741" s="288">
        <f t="shared" si="222"/>
        <v>0</v>
      </c>
      <c r="AJ1741" s="288">
        <v>8900</v>
      </c>
      <c r="AK1741" s="288">
        <f t="shared" si="223"/>
        <v>0</v>
      </c>
      <c r="AL1741" s="288"/>
      <c r="AM1741" s="22"/>
      <c r="AO1741" s="22"/>
    </row>
    <row r="1742" spans="1:46">
      <c r="C1742" s="244"/>
      <c r="D1742" s="26"/>
      <c r="E1742" s="57"/>
      <c r="F1742" s="26"/>
      <c r="G1742" s="57"/>
      <c r="H1742" s="10"/>
      <c r="I1742" s="142"/>
      <c r="J1742" s="48"/>
      <c r="K1742" s="142"/>
      <c r="L1742" s="8"/>
      <c r="P1742" s="8"/>
    </row>
    <row r="1743" spans="1:46" ht="12.75" customHeight="1">
      <c r="B1743" s="211" t="str">
        <f>IF($C$1="ENG","For additonal charge:","Послуги за додаткову плату:")</f>
        <v>Послуги за додаткову плату:</v>
      </c>
      <c r="C1743" s="419"/>
      <c r="D1743" s="212"/>
      <c r="E1743" s="213"/>
      <c r="F1743" s="26"/>
      <c r="G1743" s="57"/>
      <c r="H1743" s="10"/>
      <c r="I1743" s="83"/>
      <c r="J1743" s="8"/>
      <c r="K1743" s="83"/>
    </row>
    <row r="1744" spans="1:46" ht="4.5" customHeight="1">
      <c r="B1744" s="98"/>
      <c r="C1744" s="421"/>
      <c r="D1744" s="26"/>
      <c r="E1744" s="57"/>
      <c r="F1744" s="26"/>
      <c r="G1744" s="57"/>
      <c r="H1744" s="10"/>
      <c r="I1744" s="83"/>
      <c r="K1744" s="20"/>
    </row>
    <row r="1745" spans="2:38">
      <c r="B1745" s="561" t="str">
        <f>IF($C$1="ENG","door leaf with width 100","полотно розміром 100")</f>
        <v>полотно розміром 100</v>
      </c>
      <c r="C1745" s="562"/>
      <c r="D1745" s="415">
        <f t="shared" ref="D1745:D1756" si="224">IF(AC1745="","",(1-$W$2)*(AC1745/1.2))</f>
        <v>566.66666666666674</v>
      </c>
      <c r="E1745" s="91">
        <f>IF($W$5=0.2,D1745*1.2,D1745)/$W$4</f>
        <v>680.00000000000011</v>
      </c>
      <c r="F1745" s="140"/>
      <c r="G1745" s="57"/>
      <c r="H1745" s="10"/>
      <c r="I1745" s="83"/>
      <c r="K1745" s="20"/>
      <c r="AC1745" s="288">
        <v>680</v>
      </c>
      <c r="AD1745" s="288">
        <v>680</v>
      </c>
      <c r="AE1745" s="288">
        <f>AD1745/AC1745-1</f>
        <v>0</v>
      </c>
      <c r="AF1745" s="288"/>
      <c r="AG1745" s="288"/>
      <c r="AH1745" s="288"/>
      <c r="AI1745" s="288"/>
      <c r="AJ1745" s="288"/>
      <c r="AK1745" s="288"/>
      <c r="AL1745" s="288"/>
    </row>
    <row r="1746" spans="2:38">
      <c r="B1746" s="554" t="str">
        <f>IF($C$1="ENG","glazing Graphite / Bronze","скло Графіт / Бронза")</f>
        <v>скло Графіт / Бронза</v>
      </c>
      <c r="C1746" s="555"/>
      <c r="D1746" s="403">
        <f t="shared" si="224"/>
        <v>0</v>
      </c>
      <c r="E1746" s="135" t="str">
        <f>IF($C$1="ENG","see Glazing Price","див. Таблицю Ціни")</f>
        <v>див. Таблицю Ціни</v>
      </c>
      <c r="F1746" s="140"/>
      <c r="G1746" s="140"/>
      <c r="AC1746" s="288">
        <f t="shared" ref="AC1746:AD1755" si="225">AB1746/100*13+AB1746</f>
        <v>0</v>
      </c>
      <c r="AD1746" s="288">
        <f t="shared" si="225"/>
        <v>0</v>
      </c>
      <c r="AE1746" s="288" t="e">
        <f t="shared" ref="AE1746:AE1756" si="226">AD1746/AC1746-1</f>
        <v>#DIV/0!</v>
      </c>
      <c r="AF1746" s="288"/>
      <c r="AG1746" s="288"/>
      <c r="AH1746" s="288"/>
      <c r="AI1746" s="288"/>
      <c r="AJ1746" s="288"/>
      <c r="AK1746" s="288"/>
      <c r="AL1746" s="288"/>
    </row>
    <row r="1747" spans="2:38">
      <c r="B1747" s="554" t="str">
        <f>IF($C$1="ENG","glazing Triplex mat / black","скло Триплекс матовий / чорний")</f>
        <v>скло Триплекс матовий / чорний</v>
      </c>
      <c r="C1747" s="555"/>
      <c r="D1747" s="403">
        <f t="shared" si="224"/>
        <v>0</v>
      </c>
      <c r="E1747" s="135" t="str">
        <f>IF($C$1="ENG","see Glazing Price","див. Таблицю Ціни")</f>
        <v>див. Таблицю Ціни</v>
      </c>
      <c r="F1747" s="140"/>
      <c r="G1747" s="140"/>
      <c r="AC1747" s="288">
        <f t="shared" si="225"/>
        <v>0</v>
      </c>
      <c r="AD1747" s="288">
        <f t="shared" si="225"/>
        <v>0</v>
      </c>
      <c r="AE1747" s="288" t="e">
        <f t="shared" si="226"/>
        <v>#DIV/0!</v>
      </c>
      <c r="AF1747" s="288"/>
      <c r="AG1747" s="288"/>
      <c r="AH1747" s="288"/>
      <c r="AI1747" s="288"/>
      <c r="AJ1747" s="288"/>
      <c r="AK1747" s="288"/>
      <c r="AL1747" s="288"/>
    </row>
    <row r="1748" spans="2:38">
      <c r="B1748" s="554" t="str">
        <f>IF($C$1="ENG","door lock Soft","замок Soft")</f>
        <v>замок Soft</v>
      </c>
      <c r="C1748" s="555"/>
      <c r="D1748" s="405">
        <f t="shared" si="224"/>
        <v>458.33333333333337</v>
      </c>
      <c r="E1748" s="92">
        <f t="shared" ref="E1748:E1754" si="227">IF($W$5=0.2,D1748*1.2,D1748)/$W$4</f>
        <v>550</v>
      </c>
      <c r="F1748" s="26"/>
      <c r="G1748" s="26"/>
      <c r="H1748" s="5"/>
      <c r="AC1748" s="288">
        <v>550</v>
      </c>
      <c r="AD1748" s="288">
        <v>550</v>
      </c>
      <c r="AE1748" s="288">
        <f t="shared" si="226"/>
        <v>0</v>
      </c>
      <c r="AF1748" s="288"/>
      <c r="AG1748" s="288"/>
      <c r="AH1748" s="288"/>
      <c r="AI1748" s="288"/>
      <c r="AJ1748" s="288"/>
      <c r="AK1748" s="288"/>
      <c r="AL1748" s="288"/>
    </row>
    <row r="1749" spans="2:38">
      <c r="B1749" s="554" t="str">
        <f>IF($C$1="ENG","door lock Soft black","замок Soft чорн.")</f>
        <v>замок Soft чорн.</v>
      </c>
      <c r="C1749" s="555"/>
      <c r="D1749" s="405">
        <f t="shared" ref="D1749" si="228">IF(AC1749="","",(1-$W$2)*(AC1749/1.2))</f>
        <v>566.66666666666674</v>
      </c>
      <c r="E1749" s="92">
        <f t="shared" ref="E1749" si="229">IF($W$5=0.2,D1749*1.2,D1749)/$W$4</f>
        <v>680.00000000000011</v>
      </c>
      <c r="F1749" s="26"/>
      <c r="G1749" s="26"/>
      <c r="H1749" s="5"/>
      <c r="AC1749" s="288">
        <v>680</v>
      </c>
      <c r="AD1749" s="288"/>
      <c r="AE1749" s="288"/>
      <c r="AF1749" s="288"/>
      <c r="AG1749" s="288"/>
      <c r="AH1749" s="288"/>
      <c r="AI1749" s="288"/>
      <c r="AJ1749" s="288"/>
      <c r="AK1749" s="288"/>
      <c r="AL1749" s="288"/>
    </row>
    <row r="1750" spans="2:38">
      <c r="B1750" s="554" t="str">
        <f>IF($C$1="ENG","door lock Magnet","замок Magnet")</f>
        <v>замок Magnet</v>
      </c>
      <c r="C1750" s="555"/>
      <c r="D1750" s="405">
        <f t="shared" si="224"/>
        <v>666.66666666666674</v>
      </c>
      <c r="E1750" s="92">
        <f t="shared" si="227"/>
        <v>800.00000000000011</v>
      </c>
      <c r="F1750" s="26"/>
      <c r="G1750" s="26"/>
      <c r="H1750" s="5"/>
      <c r="AC1750" s="288">
        <v>800</v>
      </c>
      <c r="AD1750" s="288">
        <v>800</v>
      </c>
      <c r="AE1750" s="288">
        <f t="shared" si="226"/>
        <v>0</v>
      </c>
      <c r="AF1750" s="288"/>
      <c r="AG1750" s="288"/>
      <c r="AH1750" s="288"/>
      <c r="AI1750" s="288"/>
      <c r="AJ1750" s="288"/>
      <c r="AK1750" s="288"/>
      <c r="AL1750" s="288"/>
    </row>
    <row r="1751" spans="2:38">
      <c r="B1751" s="554" t="s">
        <v>66</v>
      </c>
      <c r="C1751" s="554"/>
      <c r="D1751" s="414">
        <f t="shared" si="224"/>
        <v>833.33333333333337</v>
      </c>
      <c r="E1751" s="92">
        <f t="shared" si="227"/>
        <v>1000</v>
      </c>
      <c r="F1751" s="26"/>
      <c r="G1751" s="26"/>
      <c r="H1751" s="5"/>
      <c r="AC1751" s="288">
        <v>1000</v>
      </c>
      <c r="AD1751" s="288"/>
      <c r="AE1751" s="288"/>
      <c r="AF1751" s="288"/>
      <c r="AG1751" s="288"/>
      <c r="AH1751" s="288"/>
      <c r="AI1751" s="288"/>
      <c r="AJ1751" s="288"/>
      <c r="AK1751" s="288"/>
      <c r="AL1751" s="288"/>
    </row>
    <row r="1752" spans="2:38">
      <c r="B1752" s="554" t="str">
        <f>IF($C$1="ENG","cylinder incert","циліндр несиметричний")</f>
        <v>циліндр несиметричний</v>
      </c>
      <c r="C1752" s="555"/>
      <c r="D1752" s="403">
        <f t="shared" si="224"/>
        <v>316.66666666666669</v>
      </c>
      <c r="E1752" s="66">
        <f t="shared" si="227"/>
        <v>380</v>
      </c>
      <c r="F1752" s="26"/>
      <c r="G1752" s="26"/>
      <c r="AC1752" s="288">
        <v>380</v>
      </c>
      <c r="AD1752" s="288">
        <v>380</v>
      </c>
      <c r="AE1752" s="288">
        <f t="shared" si="226"/>
        <v>0</v>
      </c>
      <c r="AF1752" s="288"/>
      <c r="AG1752" s="288"/>
      <c r="AH1752" s="288"/>
      <c r="AI1752" s="288"/>
      <c r="AJ1752" s="288"/>
      <c r="AK1752" s="288"/>
      <c r="AL1752" s="288"/>
    </row>
    <row r="1753" spans="2:38">
      <c r="B1753" s="554" t="str">
        <f>IF($C$1="ENG","door hindge Prestige (1 unit)","завіса Prestige (1 шт)")</f>
        <v>завіса Prestige (1 шт)</v>
      </c>
      <c r="C1753" s="555"/>
      <c r="D1753" s="406">
        <f t="shared" si="224"/>
        <v>216.66666666666669</v>
      </c>
      <c r="E1753" s="66">
        <f t="shared" si="227"/>
        <v>260</v>
      </c>
      <c r="F1753" s="26"/>
      <c r="G1753" s="26"/>
      <c r="AC1753" s="288">
        <v>260</v>
      </c>
      <c r="AD1753" s="288">
        <v>260</v>
      </c>
      <c r="AE1753" s="288">
        <f t="shared" si="226"/>
        <v>0</v>
      </c>
      <c r="AF1753" s="288"/>
      <c r="AG1753" s="288"/>
      <c r="AH1753" s="288"/>
      <c r="AI1753" s="288"/>
      <c r="AJ1753" s="288"/>
      <c r="AK1753" s="288"/>
      <c r="AL1753" s="288"/>
    </row>
    <row r="1754" spans="2:38">
      <c r="B1754" s="554" t="str">
        <f>IF($C$1="ENG","door hinge caps (1 set)","накладка на завіси (1 к-т)")</f>
        <v>накладка на завіси (1 к-т)</v>
      </c>
      <c r="C1754" s="555"/>
      <c r="D1754" s="406">
        <f t="shared" si="224"/>
        <v>66.666666666666671</v>
      </c>
      <c r="E1754" s="66">
        <f t="shared" si="227"/>
        <v>80</v>
      </c>
      <c r="F1754" s="26"/>
      <c r="G1754" s="26"/>
      <c r="AC1754" s="288">
        <v>80</v>
      </c>
      <c r="AD1754" s="288">
        <v>80</v>
      </c>
      <c r="AE1754" s="288">
        <f t="shared" si="226"/>
        <v>0</v>
      </c>
      <c r="AF1754" s="288"/>
      <c r="AG1754" s="288"/>
      <c r="AH1754" s="288"/>
      <c r="AI1754" s="288"/>
      <c r="AJ1754" s="288"/>
      <c r="AK1754" s="288"/>
      <c r="AL1754" s="288"/>
    </row>
    <row r="1755" spans="2:38">
      <c r="B1755" s="554" t="str">
        <f>IF($C$1="ENG","door handle","дверна ручка")</f>
        <v>дверна ручка</v>
      </c>
      <c r="C1755" s="555"/>
      <c r="D1755" s="403">
        <f t="shared" si="224"/>
        <v>0</v>
      </c>
      <c r="E1755" s="135" t="str">
        <f>IF($C$1="ENG","see Handles Price","див. Таблицю Ручки")</f>
        <v>див. Таблицю Ручки</v>
      </c>
      <c r="F1755" s="26"/>
      <c r="G1755" s="26"/>
      <c r="AC1755" s="288">
        <f t="shared" si="225"/>
        <v>0</v>
      </c>
      <c r="AD1755" s="288">
        <f t="shared" si="225"/>
        <v>0</v>
      </c>
      <c r="AE1755" s="288" t="e">
        <f t="shared" si="226"/>
        <v>#DIV/0!</v>
      </c>
      <c r="AF1755" s="288"/>
      <c r="AG1755" s="288"/>
      <c r="AH1755" s="288"/>
      <c r="AI1755" s="288"/>
      <c r="AJ1755" s="288"/>
      <c r="AK1755" s="288"/>
      <c r="AL1755" s="288"/>
    </row>
    <row r="1756" spans="2:38" ht="14.25" customHeight="1">
      <c r="B1756" s="554" t="str">
        <f>IF($C$1="ENG","perforated chipboard","ДСП трубчасте")</f>
        <v>ДСП трубчасте</v>
      </c>
      <c r="C1756" s="555"/>
      <c r="D1756" s="407">
        <f t="shared" si="224"/>
        <v>775</v>
      </c>
      <c r="E1756" s="69">
        <f>IF($W$5=0.2,D1756*1.2,D1756)/$W$4</f>
        <v>930</v>
      </c>
      <c r="F1756" s="26"/>
      <c r="G1756" s="26"/>
      <c r="AC1756" s="288">
        <v>930</v>
      </c>
      <c r="AD1756" s="288">
        <v>930</v>
      </c>
      <c r="AE1756" s="288">
        <f t="shared" si="226"/>
        <v>0</v>
      </c>
      <c r="AF1756" s="288"/>
      <c r="AG1756" s="288"/>
      <c r="AH1756" s="288"/>
      <c r="AI1756" s="288"/>
      <c r="AJ1756" s="288"/>
      <c r="AK1756" s="288"/>
      <c r="AL1756" s="288"/>
    </row>
    <row r="1757" spans="2:38" ht="14.25" customHeight="1">
      <c r="C1757" s="244"/>
      <c r="D1757" s="26"/>
      <c r="E1757" s="26"/>
      <c r="F1757" s="26"/>
      <c r="G1757" s="26"/>
      <c r="H1757" s="5"/>
      <c r="U1757" s="536" t="str">
        <f>IF($C$1="ENG",CONCATENATE("down to: ",B1807),CONCATENATE("вниз до: ",B1807))</f>
        <v>вниз до: Полотна скляні: ЛАЙН</v>
      </c>
      <c r="V1757" s="536"/>
      <c r="W1757" s="536"/>
      <c r="X1757" s="303"/>
      <c r="Y1757" s="303"/>
      <c r="Z1757" s="303"/>
      <c r="AA1757" s="303"/>
      <c r="AB1757" s="303"/>
    </row>
    <row r="1758" spans="2:38" ht="14.25" customHeight="1">
      <c r="C1758" s="244"/>
      <c r="D1758" s="26"/>
      <c r="E1758" s="26"/>
      <c r="F1758" s="26"/>
      <c r="G1758" s="26"/>
      <c r="H1758" s="5"/>
    </row>
    <row r="1759" spans="2:38" ht="14.25" customHeight="1">
      <c r="C1759" s="244"/>
      <c r="D1759" s="26"/>
      <c r="E1759" s="26"/>
      <c r="F1759" s="26"/>
      <c r="G1759" s="26"/>
      <c r="H1759" s="5"/>
    </row>
    <row r="1760" spans="2:38" ht="14.25" customHeight="1">
      <c r="C1760" s="244"/>
      <c r="D1760" s="26"/>
      <c r="E1760" s="26"/>
      <c r="F1760" s="26"/>
      <c r="G1760" s="26"/>
      <c r="H1760" s="5"/>
    </row>
    <row r="1761" spans="3:8" ht="14.25" customHeight="1">
      <c r="C1761" s="244"/>
      <c r="D1761" s="26"/>
      <c r="E1761" s="26"/>
      <c r="F1761" s="26"/>
      <c r="G1761" s="26"/>
      <c r="H1761" s="5"/>
    </row>
    <row r="1762" spans="3:8" ht="14.25" customHeight="1">
      <c r="C1762" s="244"/>
      <c r="D1762" s="26"/>
      <c r="E1762" s="26"/>
      <c r="F1762" s="26"/>
      <c r="G1762" s="26"/>
      <c r="H1762" s="5"/>
    </row>
    <row r="1763" spans="3:8" ht="14.25" customHeight="1">
      <c r="C1763" s="244"/>
      <c r="D1763" s="26"/>
      <c r="E1763" s="26"/>
      <c r="F1763" s="26"/>
      <c r="G1763" s="26"/>
      <c r="H1763" s="5"/>
    </row>
    <row r="1764" spans="3:8" ht="14.25" customHeight="1">
      <c r="C1764" s="244"/>
      <c r="D1764" s="26"/>
      <c r="E1764" s="26"/>
      <c r="F1764" s="26"/>
      <c r="G1764" s="26"/>
      <c r="H1764" s="5"/>
    </row>
    <row r="1765" spans="3:8" ht="14.25" customHeight="1">
      <c r="C1765" s="244"/>
      <c r="D1765" s="26"/>
      <c r="E1765" s="26"/>
      <c r="F1765" s="26"/>
      <c r="G1765" s="26"/>
      <c r="H1765" s="5"/>
    </row>
    <row r="1766" spans="3:8" ht="14.25" customHeight="1">
      <c r="C1766" s="244"/>
      <c r="D1766" s="26"/>
      <c r="E1766" s="26"/>
      <c r="F1766" s="26"/>
      <c r="G1766" s="26"/>
      <c r="H1766" s="5"/>
    </row>
    <row r="1767" spans="3:8" ht="14.25" customHeight="1">
      <c r="C1767" s="244"/>
      <c r="D1767" s="26"/>
      <c r="E1767" s="26"/>
      <c r="F1767" s="26"/>
      <c r="G1767" s="26"/>
      <c r="H1767" s="5"/>
    </row>
    <row r="1768" spans="3:8" ht="14.25" customHeight="1">
      <c r="C1768" s="244"/>
      <c r="D1768" s="26"/>
      <c r="E1768" s="26"/>
      <c r="F1768" s="26"/>
      <c r="G1768" s="26"/>
      <c r="H1768" s="5"/>
    </row>
    <row r="1769" spans="3:8" ht="14.25" customHeight="1">
      <c r="C1769" s="244"/>
      <c r="D1769" s="26"/>
      <c r="E1769" s="26"/>
      <c r="F1769" s="26"/>
      <c r="G1769" s="26"/>
      <c r="H1769" s="5"/>
    </row>
    <row r="1770" spans="3:8" ht="14.25" customHeight="1">
      <c r="C1770" s="244"/>
      <c r="D1770" s="26"/>
      <c r="E1770" s="26"/>
      <c r="F1770" s="26"/>
      <c r="G1770" s="26"/>
      <c r="H1770" s="5"/>
    </row>
    <row r="1771" spans="3:8" ht="14.25" customHeight="1">
      <c r="C1771" s="244"/>
      <c r="D1771" s="26"/>
      <c r="E1771" s="26"/>
      <c r="F1771" s="26"/>
      <c r="G1771" s="26"/>
      <c r="H1771" s="5"/>
    </row>
    <row r="1772" spans="3:8" ht="14.25" customHeight="1">
      <c r="C1772" s="244"/>
      <c r="D1772" s="26"/>
      <c r="E1772" s="26"/>
      <c r="F1772" s="26"/>
      <c r="G1772" s="26"/>
      <c r="H1772" s="5"/>
    </row>
    <row r="1773" spans="3:8" ht="14.25" customHeight="1">
      <c r="C1773" s="244"/>
      <c r="D1773" s="26"/>
      <c r="E1773" s="26"/>
      <c r="F1773" s="26"/>
      <c r="G1773" s="26"/>
      <c r="H1773" s="5"/>
    </row>
    <row r="1774" spans="3:8" ht="14.25" customHeight="1">
      <c r="C1774" s="244"/>
      <c r="D1774" s="26"/>
      <c r="E1774" s="26"/>
      <c r="F1774" s="26"/>
      <c r="G1774" s="26"/>
      <c r="H1774" s="5"/>
    </row>
    <row r="1775" spans="3:8" ht="14.25" customHeight="1">
      <c r="C1775" s="244"/>
      <c r="D1775" s="26"/>
      <c r="E1775" s="26"/>
      <c r="F1775" s="26"/>
      <c r="G1775" s="26"/>
      <c r="H1775" s="5"/>
    </row>
    <row r="1776" spans="3:8" ht="14.25" customHeight="1">
      <c r="C1776" s="244"/>
      <c r="D1776" s="26"/>
      <c r="E1776" s="26"/>
      <c r="F1776" s="26"/>
      <c r="G1776" s="26"/>
      <c r="H1776" s="5"/>
    </row>
    <row r="1777" spans="3:8" ht="14.25" customHeight="1">
      <c r="C1777" s="244"/>
      <c r="D1777" s="26"/>
      <c r="E1777" s="26"/>
      <c r="F1777" s="26"/>
      <c r="G1777" s="26"/>
      <c r="H1777" s="5"/>
    </row>
    <row r="1778" spans="3:8" ht="14.25" customHeight="1">
      <c r="C1778" s="244"/>
      <c r="D1778" s="26"/>
      <c r="E1778" s="26"/>
      <c r="F1778" s="26"/>
      <c r="G1778" s="26"/>
      <c r="H1778" s="5"/>
    </row>
    <row r="1779" spans="3:8" ht="14.25" customHeight="1">
      <c r="C1779" s="244"/>
      <c r="D1779" s="26"/>
      <c r="E1779" s="26"/>
      <c r="F1779" s="26"/>
      <c r="G1779" s="26"/>
      <c r="H1779" s="5"/>
    </row>
    <row r="1780" spans="3:8" ht="14.25" customHeight="1">
      <c r="C1780" s="244"/>
      <c r="D1780" s="26"/>
      <c r="E1780" s="26"/>
      <c r="F1780" s="26"/>
      <c r="G1780" s="26"/>
      <c r="H1780" s="5"/>
    </row>
    <row r="1781" spans="3:8" ht="14.25" customHeight="1">
      <c r="C1781" s="244"/>
      <c r="D1781" s="26"/>
      <c r="E1781" s="26"/>
      <c r="F1781" s="26"/>
      <c r="G1781" s="26"/>
      <c r="H1781" s="5"/>
    </row>
    <row r="1782" spans="3:8" ht="14.25" customHeight="1">
      <c r="C1782" s="244"/>
      <c r="D1782" s="26"/>
      <c r="E1782" s="26"/>
      <c r="F1782" s="26"/>
      <c r="G1782" s="26"/>
      <c r="H1782" s="5"/>
    </row>
    <row r="1783" spans="3:8" ht="14.25" customHeight="1">
      <c r="C1783" s="244"/>
      <c r="D1783" s="26"/>
      <c r="E1783" s="26"/>
      <c r="F1783" s="26"/>
      <c r="G1783" s="26"/>
      <c r="H1783" s="5"/>
    </row>
    <row r="1784" spans="3:8" ht="14.25" customHeight="1">
      <c r="C1784" s="244"/>
      <c r="D1784" s="26"/>
      <c r="E1784" s="26"/>
      <c r="F1784" s="26"/>
      <c r="G1784" s="26"/>
      <c r="H1784" s="5"/>
    </row>
    <row r="1785" spans="3:8" ht="14.25" customHeight="1">
      <c r="C1785" s="244"/>
      <c r="D1785" s="26"/>
      <c r="E1785" s="26"/>
      <c r="F1785" s="26"/>
      <c r="G1785" s="26"/>
      <c r="H1785" s="5"/>
    </row>
    <row r="1786" spans="3:8" ht="14.25" customHeight="1">
      <c r="C1786" s="244"/>
      <c r="D1786" s="26"/>
      <c r="E1786" s="26"/>
      <c r="F1786" s="26"/>
      <c r="G1786" s="26"/>
      <c r="H1786" s="5"/>
    </row>
    <row r="1787" spans="3:8" ht="14.25" customHeight="1">
      <c r="C1787" s="244"/>
      <c r="D1787" s="26"/>
      <c r="E1787" s="26"/>
      <c r="F1787" s="26"/>
      <c r="G1787" s="26"/>
      <c r="H1787" s="5"/>
    </row>
    <row r="1788" spans="3:8" ht="14.25" customHeight="1">
      <c r="C1788" s="244"/>
      <c r="D1788" s="26"/>
      <c r="E1788" s="26"/>
      <c r="F1788" s="26"/>
      <c r="G1788" s="26"/>
      <c r="H1788" s="5"/>
    </row>
    <row r="1789" spans="3:8" ht="14.25" customHeight="1">
      <c r="C1789" s="244"/>
      <c r="D1789" s="26"/>
      <c r="E1789" s="26"/>
      <c r="F1789" s="26"/>
      <c r="G1789" s="26"/>
      <c r="H1789" s="5"/>
    </row>
    <row r="1790" spans="3:8" ht="14.25" customHeight="1">
      <c r="C1790" s="244"/>
      <c r="D1790" s="26"/>
      <c r="E1790" s="26"/>
      <c r="F1790" s="26"/>
      <c r="G1790" s="26"/>
      <c r="H1790" s="5"/>
    </row>
    <row r="1791" spans="3:8" ht="14.25" customHeight="1">
      <c r="C1791" s="244"/>
      <c r="D1791" s="26"/>
      <c r="E1791" s="26"/>
      <c r="F1791" s="26"/>
      <c r="G1791" s="26"/>
      <c r="H1791" s="5"/>
    </row>
    <row r="1792" spans="3:8" ht="14.25" customHeight="1">
      <c r="C1792" s="244"/>
      <c r="D1792" s="26"/>
      <c r="E1792" s="26"/>
      <c r="F1792" s="26"/>
      <c r="G1792" s="26"/>
      <c r="H1792" s="5"/>
    </row>
    <row r="1793" spans="1:46" ht="14.25" customHeight="1">
      <c r="C1793" s="244"/>
      <c r="D1793" s="26"/>
      <c r="E1793" s="26"/>
      <c r="F1793" s="26"/>
      <c r="G1793" s="26"/>
      <c r="H1793" s="5"/>
    </row>
    <row r="1794" spans="1:46" ht="14.25" customHeight="1">
      <c r="C1794" s="244"/>
      <c r="D1794" s="26"/>
      <c r="E1794" s="26"/>
      <c r="F1794" s="26"/>
      <c r="G1794" s="26"/>
      <c r="H1794" s="5"/>
    </row>
    <row r="1795" spans="1:46" ht="14.25" customHeight="1">
      <c r="C1795" s="244"/>
      <c r="D1795" s="26"/>
      <c r="E1795" s="26"/>
      <c r="F1795" s="26"/>
      <c r="G1795" s="26"/>
      <c r="H1795" s="5"/>
    </row>
    <row r="1796" spans="1:46" ht="14.25" customHeight="1">
      <c r="C1796" s="244"/>
      <c r="D1796" s="26"/>
      <c r="E1796" s="26"/>
      <c r="F1796" s="26"/>
      <c r="G1796" s="26"/>
      <c r="H1796" s="5"/>
    </row>
    <row r="1797" spans="1:46" ht="14.25" customHeight="1">
      <c r="C1797" s="244"/>
      <c r="D1797" s="26"/>
      <c r="E1797" s="26"/>
      <c r="F1797" s="26"/>
      <c r="G1797" s="26"/>
      <c r="H1797" s="5"/>
    </row>
    <row r="1798" spans="1:46" ht="14.25" customHeight="1">
      <c r="C1798" s="244"/>
      <c r="D1798" s="26"/>
      <c r="E1798" s="26"/>
      <c r="F1798" s="26"/>
      <c r="G1798" s="26"/>
      <c r="H1798" s="5"/>
    </row>
    <row r="1799" spans="1:46" ht="14.25" customHeight="1">
      <c r="C1799" s="244"/>
      <c r="D1799" s="26"/>
      <c r="E1799" s="26"/>
      <c r="F1799" s="26"/>
      <c r="G1799" s="26"/>
      <c r="H1799" s="5"/>
    </row>
    <row r="1800" spans="1:46" ht="14.25" customHeight="1">
      <c r="C1800" s="244"/>
      <c r="D1800" s="26"/>
      <c r="E1800" s="26"/>
      <c r="F1800" s="26"/>
      <c r="G1800" s="26"/>
      <c r="H1800" s="5"/>
    </row>
    <row r="1801" spans="1:46" ht="14.25" customHeight="1">
      <c r="C1801" s="244"/>
      <c r="D1801" s="26"/>
      <c r="E1801" s="26"/>
      <c r="F1801" s="26"/>
      <c r="G1801" s="26"/>
      <c r="H1801" s="5"/>
    </row>
    <row r="1802" spans="1:46" ht="14.25" customHeight="1">
      <c r="C1802" s="244"/>
      <c r="D1802" s="26"/>
      <c r="E1802" s="26"/>
      <c r="F1802" s="26"/>
      <c r="G1802" s="26"/>
      <c r="H1802" s="5"/>
    </row>
    <row r="1803" spans="1:46" ht="14.25" customHeight="1">
      <c r="C1803" s="244"/>
      <c r="D1803" s="26"/>
      <c r="E1803" s="26"/>
      <c r="F1803" s="26"/>
      <c r="G1803" s="26"/>
      <c r="H1803" s="5"/>
    </row>
    <row r="1804" spans="1:46" ht="14.25" customHeight="1">
      <c r="C1804" s="244"/>
      <c r="D1804" s="26"/>
      <c r="E1804" s="26"/>
      <c r="F1804" s="26"/>
      <c r="G1804" s="26"/>
      <c r="H1804" s="5"/>
    </row>
    <row r="1805" spans="1:46" ht="14.25" customHeight="1">
      <c r="C1805" s="244"/>
      <c r="D1805" s="26"/>
      <c r="E1805" s="26"/>
      <c r="F1805" s="26"/>
      <c r="G1805" s="26"/>
      <c r="H1805" s="5"/>
    </row>
    <row r="1806" spans="1:46" s="8" customFormat="1">
      <c r="B1806" s="1"/>
      <c r="C1806" s="244"/>
      <c r="D1806" s="26"/>
      <c r="E1806" s="26"/>
      <c r="F1806" s="26"/>
      <c r="G1806" s="26"/>
      <c r="H1806" s="5"/>
      <c r="I1806" s="1"/>
      <c r="J1806" s="1"/>
      <c r="K1806" s="1"/>
      <c r="AE1806" s="288">
        <f>Z1806/100*12+Z1806</f>
        <v>0</v>
      </c>
      <c r="AF1806" s="288" t="e">
        <f>AE1806/Z1806-1</f>
        <v>#DIV/0!</v>
      </c>
      <c r="AN1806" s="279"/>
      <c r="AO1806" s="279"/>
      <c r="AP1806" s="279"/>
      <c r="AQ1806" s="279"/>
      <c r="AR1806" s="279"/>
      <c r="AS1806" s="279"/>
      <c r="AT1806" s="279"/>
    </row>
    <row r="1807" spans="1:46" s="8" customFormat="1" ht="12.75" customHeight="1">
      <c r="B1807" s="550" t="str">
        <f>TITLE!$C$30</f>
        <v>Полотна скляні: ЛАЙН</v>
      </c>
      <c r="C1807" s="550"/>
      <c r="D1807" s="117"/>
      <c r="E1807" s="117"/>
      <c r="F1807" s="117"/>
      <c r="G1807" s="117"/>
      <c r="H1807" s="117"/>
      <c r="I1807" s="120"/>
      <c r="J1807" s="120"/>
      <c r="K1807" s="120"/>
      <c r="L1807" s="120"/>
      <c r="M1807" s="120"/>
      <c r="N1807" s="120"/>
      <c r="O1807" s="120"/>
      <c r="P1807" s="120"/>
      <c r="Q1807" s="120"/>
      <c r="R1807" s="120"/>
      <c r="S1807" s="120"/>
      <c r="T1807" s="544" t="str">
        <f>IF($C$1="ENG",CONCATENATE("up to: ",B1734),CONCATENATE("вгору до: ",B1734))</f>
        <v>вгору до: Полотна скляні: ЛІНЕЯ</v>
      </c>
      <c r="U1807" s="544"/>
      <c r="V1807" s="544"/>
      <c r="W1807" s="544"/>
      <c r="AN1807" s="279"/>
      <c r="AO1807" s="279"/>
      <c r="AP1807" s="279"/>
      <c r="AQ1807" s="279"/>
      <c r="AR1807" s="279"/>
      <c r="AS1807" s="279"/>
      <c r="AT1807" s="279"/>
    </row>
    <row r="1808" spans="1:46" ht="4.5" customHeight="1">
      <c r="A1808" s="8"/>
      <c r="B1808" s="116"/>
      <c r="C1808" s="418"/>
      <c r="D1808" s="9"/>
      <c r="E1808" s="9"/>
      <c r="F1808" s="9"/>
      <c r="G1808" s="9"/>
      <c r="H1808" s="10"/>
      <c r="I1808" s="8"/>
      <c r="J1808" s="8"/>
      <c r="K1808" s="8"/>
      <c r="L1808" s="8"/>
      <c r="M1808" s="11"/>
      <c r="P1808" s="8"/>
      <c r="Q1808" s="11"/>
    </row>
    <row r="1809" spans="1:42" ht="12.75" customHeight="1">
      <c r="A1809" s="8"/>
      <c r="B1809" s="556" t="str">
        <f>IF($C$1="ENG","model","модель")</f>
        <v>модель</v>
      </c>
      <c r="C1809" s="121" t="str">
        <f>IF($C$1="ENG","cover:","покриття:")</f>
        <v>покриття:</v>
      </c>
      <c r="D1809" s="538" t="str">
        <f>IF($C$1="ENG","VERTO-CELL","VERTO-CELL")</f>
        <v>VERTO-CELL</v>
      </c>
      <c r="E1809" s="539"/>
      <c r="F1809" s="538" t="str">
        <f>IF($C$1="ENG","RESIST","RESIST")</f>
        <v>RESIST</v>
      </c>
      <c r="G1809" s="539"/>
      <c r="H1809" s="538" t="str">
        <f>IF($C$1="ENG","Verto LINE-3D","Verto LINE-3D")</f>
        <v>Verto LINE-3D</v>
      </c>
      <c r="I1809" s="539"/>
      <c r="J1809" s="538" t="str">
        <f>IF($C$1="ENG","ECO Shpon","ЕКО Шпон")</f>
        <v>ЕКО Шпон</v>
      </c>
      <c r="K1809" s="539"/>
      <c r="L1809" s="8"/>
      <c r="M1809" s="11"/>
      <c r="P1809" s="8"/>
      <c r="Q1809" s="11"/>
    </row>
    <row r="1810" spans="1:42" ht="12.75" customHeight="1">
      <c r="A1810" s="8"/>
      <c r="B1810" s="557"/>
      <c r="C1810" s="122" t="str">
        <f>IF($C$1="ENG","filling:","заповнення:")</f>
        <v>заповнення:</v>
      </c>
      <c r="D1810" s="540" t="str">
        <f>IF($C$1="ENG","honeycomb core ","сотове заповнення")</f>
        <v>сотове заповнення</v>
      </c>
      <c r="E1810" s="541"/>
      <c r="F1810" s="540" t="str">
        <f>IF($C$1="ENG","honeycomb core ","сотове заповнення")</f>
        <v>сотове заповнення</v>
      </c>
      <c r="G1810" s="541"/>
      <c r="H1810" s="540" t="str">
        <f>IF($C$1="ENG","honeycomb core ","сотове заповнення")</f>
        <v>сотове заповнення</v>
      </c>
      <c r="I1810" s="541"/>
      <c r="J1810" s="540" t="str">
        <f>IF($C$1="ENG","honeycomb core ","сотове заповнення")</f>
        <v>сотове заповнення</v>
      </c>
      <c r="K1810" s="541"/>
      <c r="L1810" s="8"/>
      <c r="M1810" s="11"/>
      <c r="P1810" s="8"/>
      <c r="Q1810" s="11"/>
    </row>
    <row r="1811" spans="1:42">
      <c r="A1811" s="8"/>
      <c r="B1811" s="558"/>
      <c r="C1811" s="123" t="str">
        <f>IF($C$1="ENG","glazing:","скління:")</f>
        <v>скління:</v>
      </c>
      <c r="D1811" s="542" t="str">
        <f>IF($C$1="ENG","Drawing / Satin (1)","Малюнок / Сатин (1)")</f>
        <v>Малюнок / Сатин (1)</v>
      </c>
      <c r="E1811" s="543"/>
      <c r="F1811" s="542" t="str">
        <f>IF($C$1="ENG","Drawing / Satin (1)","Малюнок / Сатин (1)")</f>
        <v>Малюнок / Сатин (1)</v>
      </c>
      <c r="G1811" s="543"/>
      <c r="H1811" s="542" t="str">
        <f>IF($C$1="ENG","Drawing / Satin (1)","Малюнок / Сатин (1)")</f>
        <v>Малюнок / Сатин (1)</v>
      </c>
      <c r="I1811" s="543"/>
      <c r="J1811" s="542" t="str">
        <f>IF($C$1="ENG","Drawing / Satin (1)","Малюнок / Сатин (1)")</f>
        <v>Малюнок / Сатин (1)</v>
      </c>
      <c r="K1811" s="543"/>
      <c r="L1811" s="103"/>
      <c r="M1811" s="20"/>
      <c r="N1811" s="103"/>
      <c r="O1811" s="20"/>
      <c r="P1811" s="103"/>
      <c r="Q1811" s="20"/>
      <c r="R1811" s="103"/>
      <c r="S1811" s="20"/>
      <c r="T1811" s="103"/>
      <c r="V1811" s="103"/>
      <c r="W1811" s="20"/>
      <c r="X1811" s="22"/>
      <c r="Y1811" s="22"/>
      <c r="Z1811" s="22"/>
      <c r="AA1811" s="22"/>
      <c r="AB1811" s="22"/>
    </row>
    <row r="1812" spans="1:42" ht="35.1" customHeight="1">
      <c r="A1812" s="8"/>
      <c r="B1812" s="13">
        <v>1</v>
      </c>
      <c r="C1812" s="14"/>
      <c r="D1812" s="15">
        <f t="shared" ref="D1812:D1818" si="230">IF(AC1812="","",(1-$W$2)*(AC1812/1.2))</f>
        <v>6033.3333333333339</v>
      </c>
      <c r="E1812" s="64">
        <f t="shared" ref="E1812:E1818" si="231">IF($W$5=0.2,D1812*1.2,D1812)/$W$4</f>
        <v>7240.0000000000009</v>
      </c>
      <c r="F1812" s="15">
        <f t="shared" ref="F1812:F1818" si="232">IF(AD1812="","",(1-$W$2)*(AD1812/1.2))</f>
        <v>6516.666666666667</v>
      </c>
      <c r="G1812" s="64">
        <f t="shared" ref="G1812:G1818" si="233">IF($W$5=0.2,F1812*1.2,F1812)/$W$4</f>
        <v>7820</v>
      </c>
      <c r="H1812" s="15">
        <f t="shared" ref="H1812:H1818" si="234">IF(AE1812="","",(1-$W$2)*(AE1812/1.2))</f>
        <v>6800</v>
      </c>
      <c r="I1812" s="64">
        <f t="shared" ref="I1812:I1818" si="235">IF($W$5=0.2,H1812*1.2,H1812)/$W$4</f>
        <v>8160</v>
      </c>
      <c r="J1812" s="15">
        <f>IF(AF1812="","",(1-$W$2)*(AF1812/1.2))</f>
        <v>7141.666666666667</v>
      </c>
      <c r="K1812" s="64">
        <f t="shared" ref="K1812:K1818" si="236">IF($W$5=0.2,J1812*1.2,J1812)/$W$4</f>
        <v>8570</v>
      </c>
      <c r="L1812" s="103"/>
      <c r="M1812" s="20"/>
      <c r="N1812" s="103"/>
      <c r="O1812" s="20"/>
      <c r="P1812" s="103"/>
      <c r="Q1812" s="20"/>
      <c r="R1812" s="103"/>
      <c r="S1812" s="20"/>
      <c r="T1812" s="103"/>
      <c r="V1812" s="103"/>
      <c r="W1812" s="20"/>
      <c r="AC1812" s="331">
        <v>7240</v>
      </c>
      <c r="AD1812" s="331">
        <v>7820</v>
      </c>
      <c r="AE1812" s="331">
        <v>8160</v>
      </c>
      <c r="AF1812" s="331">
        <v>8570</v>
      </c>
      <c r="AG1812" s="288">
        <v>7240</v>
      </c>
      <c r="AH1812" s="288">
        <f>AG1812/AC1812-1</f>
        <v>0</v>
      </c>
      <c r="AI1812" s="288">
        <v>7820</v>
      </c>
      <c r="AJ1812" s="288">
        <f>AI1812/AD1812-1</f>
        <v>0</v>
      </c>
      <c r="AK1812" s="288">
        <v>8160</v>
      </c>
      <c r="AL1812" s="288">
        <f>AK1812/AE1812-1</f>
        <v>0</v>
      </c>
      <c r="AM1812" s="288">
        <v>8570</v>
      </c>
      <c r="AN1812" s="288">
        <f>AM1812/AF1812-1</f>
        <v>0</v>
      </c>
      <c r="AO1812" s="1"/>
      <c r="AP1812" s="1"/>
    </row>
    <row r="1813" spans="1:42" ht="35.1" customHeight="1">
      <c r="A1813" s="8"/>
      <c r="B1813" s="16">
        <v>2</v>
      </c>
      <c r="C1813" s="17"/>
      <c r="D1813" s="18">
        <f t="shared" si="230"/>
        <v>6700</v>
      </c>
      <c r="E1813" s="66">
        <f t="shared" si="231"/>
        <v>8040</v>
      </c>
      <c r="F1813" s="18">
        <f t="shared" si="232"/>
        <v>7158.3333333333339</v>
      </c>
      <c r="G1813" s="66">
        <f t="shared" si="233"/>
        <v>8590</v>
      </c>
      <c r="H1813" s="18">
        <f t="shared" si="234"/>
        <v>7475</v>
      </c>
      <c r="I1813" s="66">
        <f t="shared" si="235"/>
        <v>8970</v>
      </c>
      <c r="J1813" s="18">
        <f t="shared" ref="J1813:J1818" si="237">IF(AF1813="","",(1-$W$2)*(AF1813/1.2))</f>
        <v>7833.3333333333339</v>
      </c>
      <c r="K1813" s="66">
        <f t="shared" si="236"/>
        <v>9400</v>
      </c>
      <c r="L1813" s="103"/>
      <c r="M1813" s="20"/>
      <c r="N1813" s="103"/>
      <c r="O1813" s="20"/>
      <c r="P1813" s="103"/>
      <c r="Q1813" s="20"/>
      <c r="R1813" s="103"/>
      <c r="S1813" s="20"/>
      <c r="T1813" s="103"/>
      <c r="V1813" s="103"/>
      <c r="W1813" s="20"/>
      <c r="AC1813" s="331">
        <v>8040</v>
      </c>
      <c r="AD1813" s="331">
        <v>8590</v>
      </c>
      <c r="AE1813" s="331">
        <v>8970</v>
      </c>
      <c r="AF1813" s="331">
        <v>9400</v>
      </c>
      <c r="AG1813" s="288">
        <v>8040</v>
      </c>
      <c r="AH1813" s="288">
        <f t="shared" ref="AH1813:AH1818" si="238">AG1813/AC1813-1</f>
        <v>0</v>
      </c>
      <c r="AI1813" s="288">
        <v>8590</v>
      </c>
      <c r="AJ1813" s="288">
        <f t="shared" ref="AJ1813:AJ1818" si="239">AI1813/AD1813-1</f>
        <v>0</v>
      </c>
      <c r="AK1813" s="288">
        <v>8970</v>
      </c>
      <c r="AL1813" s="288">
        <f t="shared" ref="AL1813:AL1818" si="240">AK1813/AE1813-1</f>
        <v>0</v>
      </c>
      <c r="AM1813" s="288">
        <v>9400</v>
      </c>
      <c r="AN1813" s="288">
        <f t="shared" ref="AN1813:AN1818" si="241">AM1813/AF1813-1</f>
        <v>0</v>
      </c>
      <c r="AO1813" s="1"/>
      <c r="AP1813" s="1"/>
    </row>
    <row r="1814" spans="1:42" ht="35.1" customHeight="1">
      <c r="A1814" s="8"/>
      <c r="B1814" s="16">
        <v>3</v>
      </c>
      <c r="C1814" s="17"/>
      <c r="D1814" s="18">
        <f t="shared" si="230"/>
        <v>6700</v>
      </c>
      <c r="E1814" s="66">
        <f t="shared" si="231"/>
        <v>8040</v>
      </c>
      <c r="F1814" s="18">
        <f t="shared" si="232"/>
        <v>7158.3333333333339</v>
      </c>
      <c r="G1814" s="66">
        <f t="shared" si="233"/>
        <v>8590</v>
      </c>
      <c r="H1814" s="18">
        <f t="shared" si="234"/>
        <v>7475</v>
      </c>
      <c r="I1814" s="66">
        <f t="shared" si="235"/>
        <v>8970</v>
      </c>
      <c r="J1814" s="18">
        <f t="shared" si="237"/>
        <v>7833.3333333333339</v>
      </c>
      <c r="K1814" s="66">
        <f t="shared" si="236"/>
        <v>9400</v>
      </c>
      <c r="L1814" s="103"/>
      <c r="M1814" s="20"/>
      <c r="N1814" s="103"/>
      <c r="O1814" s="20"/>
      <c r="P1814" s="103"/>
      <c r="Q1814" s="20"/>
      <c r="R1814" s="103"/>
      <c r="S1814" s="20"/>
      <c r="T1814" s="103"/>
      <c r="V1814" s="103"/>
      <c r="W1814" s="20"/>
      <c r="AC1814" s="331">
        <v>8040</v>
      </c>
      <c r="AD1814" s="331">
        <v>8590</v>
      </c>
      <c r="AE1814" s="331">
        <v>8970</v>
      </c>
      <c r="AF1814" s="331">
        <v>9400</v>
      </c>
      <c r="AG1814" s="288">
        <v>8040</v>
      </c>
      <c r="AH1814" s="288">
        <f t="shared" si="238"/>
        <v>0</v>
      </c>
      <c r="AI1814" s="288">
        <v>8590</v>
      </c>
      <c r="AJ1814" s="288">
        <f t="shared" si="239"/>
        <v>0</v>
      </c>
      <c r="AK1814" s="288">
        <v>8970</v>
      </c>
      <c r="AL1814" s="288">
        <f t="shared" si="240"/>
        <v>0</v>
      </c>
      <c r="AM1814" s="288">
        <v>9400</v>
      </c>
      <c r="AN1814" s="288">
        <f t="shared" si="241"/>
        <v>0</v>
      </c>
      <c r="AO1814" s="1"/>
      <c r="AP1814" s="1"/>
    </row>
    <row r="1815" spans="1:42" ht="35.1" customHeight="1">
      <c r="A1815" s="8"/>
      <c r="B1815" s="16">
        <v>4</v>
      </c>
      <c r="C1815" s="17"/>
      <c r="D1815" s="18">
        <f t="shared" si="230"/>
        <v>6700</v>
      </c>
      <c r="E1815" s="66">
        <f t="shared" si="231"/>
        <v>8040</v>
      </c>
      <c r="F1815" s="18">
        <f t="shared" si="232"/>
        <v>7158.3333333333339</v>
      </c>
      <c r="G1815" s="66">
        <f t="shared" si="233"/>
        <v>8590</v>
      </c>
      <c r="H1815" s="18">
        <f t="shared" si="234"/>
        <v>7475</v>
      </c>
      <c r="I1815" s="66">
        <f t="shared" si="235"/>
        <v>8970</v>
      </c>
      <c r="J1815" s="18">
        <f t="shared" si="237"/>
        <v>7833.3333333333339</v>
      </c>
      <c r="K1815" s="66">
        <f t="shared" si="236"/>
        <v>9400</v>
      </c>
      <c r="L1815" s="103"/>
      <c r="M1815" s="20"/>
      <c r="N1815" s="103"/>
      <c r="O1815" s="20"/>
      <c r="P1815" s="103"/>
      <c r="Q1815" s="20"/>
      <c r="R1815" s="103"/>
      <c r="S1815" s="20"/>
      <c r="T1815" s="103"/>
      <c r="V1815" s="103"/>
      <c r="W1815" s="20"/>
      <c r="AC1815" s="331">
        <v>8040</v>
      </c>
      <c r="AD1815" s="331">
        <v>8590</v>
      </c>
      <c r="AE1815" s="331">
        <v>8970</v>
      </c>
      <c r="AF1815" s="331">
        <v>9400</v>
      </c>
      <c r="AG1815" s="288">
        <v>8040</v>
      </c>
      <c r="AH1815" s="288">
        <f t="shared" si="238"/>
        <v>0</v>
      </c>
      <c r="AI1815" s="288">
        <v>8590</v>
      </c>
      <c r="AJ1815" s="288">
        <f t="shared" si="239"/>
        <v>0</v>
      </c>
      <c r="AK1815" s="288">
        <v>8970</v>
      </c>
      <c r="AL1815" s="288">
        <f t="shared" si="240"/>
        <v>0</v>
      </c>
      <c r="AM1815" s="288">
        <v>9400</v>
      </c>
      <c r="AN1815" s="288">
        <f t="shared" si="241"/>
        <v>0</v>
      </c>
      <c r="AO1815" s="1"/>
      <c r="AP1815" s="1"/>
    </row>
    <row r="1816" spans="1:42" ht="35.1" customHeight="1">
      <c r="A1816" s="8"/>
      <c r="B1816" s="16">
        <v>5</v>
      </c>
      <c r="C1816" s="17"/>
      <c r="D1816" s="18">
        <f t="shared" si="230"/>
        <v>6700</v>
      </c>
      <c r="E1816" s="66">
        <f t="shared" si="231"/>
        <v>8040</v>
      </c>
      <c r="F1816" s="18">
        <f t="shared" si="232"/>
        <v>7158.3333333333339</v>
      </c>
      <c r="G1816" s="66">
        <f t="shared" si="233"/>
        <v>8590</v>
      </c>
      <c r="H1816" s="18">
        <f t="shared" si="234"/>
        <v>7475</v>
      </c>
      <c r="I1816" s="66">
        <f t="shared" si="235"/>
        <v>8970</v>
      </c>
      <c r="J1816" s="18">
        <f t="shared" si="237"/>
        <v>7833.3333333333339</v>
      </c>
      <c r="K1816" s="66">
        <f t="shared" si="236"/>
        <v>9400</v>
      </c>
      <c r="L1816" s="103"/>
      <c r="M1816" s="20"/>
      <c r="N1816" s="103"/>
      <c r="O1816" s="20"/>
      <c r="P1816" s="103"/>
      <c r="Q1816" s="20"/>
      <c r="R1816" s="103"/>
      <c r="S1816" s="20"/>
      <c r="T1816" s="103"/>
      <c r="V1816" s="103"/>
      <c r="W1816" s="20"/>
      <c r="AC1816" s="331">
        <v>8040</v>
      </c>
      <c r="AD1816" s="331">
        <v>8590</v>
      </c>
      <c r="AE1816" s="331">
        <v>8970</v>
      </c>
      <c r="AF1816" s="331">
        <v>9400</v>
      </c>
      <c r="AG1816" s="288">
        <v>8040</v>
      </c>
      <c r="AH1816" s="288">
        <f t="shared" si="238"/>
        <v>0</v>
      </c>
      <c r="AI1816" s="288">
        <v>8590</v>
      </c>
      <c r="AJ1816" s="288">
        <f t="shared" si="239"/>
        <v>0</v>
      </c>
      <c r="AK1816" s="288">
        <v>8970</v>
      </c>
      <c r="AL1816" s="288">
        <f t="shared" si="240"/>
        <v>0</v>
      </c>
      <c r="AM1816" s="288">
        <v>9400</v>
      </c>
      <c r="AN1816" s="288">
        <f t="shared" si="241"/>
        <v>0</v>
      </c>
      <c r="AO1816" s="1"/>
      <c r="AP1816" s="1"/>
    </row>
    <row r="1817" spans="1:42" ht="35.1" customHeight="1">
      <c r="A1817" s="8"/>
      <c r="B1817" s="16">
        <v>6</v>
      </c>
      <c r="C1817" s="17"/>
      <c r="D1817" s="18">
        <f t="shared" si="230"/>
        <v>6700</v>
      </c>
      <c r="E1817" s="66">
        <f t="shared" si="231"/>
        <v>8040</v>
      </c>
      <c r="F1817" s="18">
        <f t="shared" si="232"/>
        <v>7158.3333333333339</v>
      </c>
      <c r="G1817" s="66">
        <f t="shared" si="233"/>
        <v>8590</v>
      </c>
      <c r="H1817" s="18">
        <f t="shared" si="234"/>
        <v>7475</v>
      </c>
      <c r="I1817" s="66">
        <f t="shared" si="235"/>
        <v>8970</v>
      </c>
      <c r="J1817" s="18">
        <f t="shared" si="237"/>
        <v>7833.3333333333339</v>
      </c>
      <c r="K1817" s="66">
        <f t="shared" si="236"/>
        <v>9400</v>
      </c>
      <c r="L1817" s="103"/>
      <c r="M1817" s="20"/>
      <c r="N1817" s="103"/>
      <c r="O1817" s="20"/>
      <c r="P1817" s="103"/>
      <c r="Q1817" s="20"/>
      <c r="R1817" s="103"/>
      <c r="S1817" s="20"/>
      <c r="T1817" s="103"/>
      <c r="V1817" s="103"/>
      <c r="W1817" s="20"/>
      <c r="AC1817" s="331">
        <v>8040</v>
      </c>
      <c r="AD1817" s="331">
        <v>8590</v>
      </c>
      <c r="AE1817" s="331">
        <v>8970</v>
      </c>
      <c r="AF1817" s="331">
        <v>9400</v>
      </c>
      <c r="AG1817" s="288">
        <v>8040</v>
      </c>
      <c r="AH1817" s="288">
        <f t="shared" si="238"/>
        <v>0</v>
      </c>
      <c r="AI1817" s="288">
        <v>8590</v>
      </c>
      <c r="AJ1817" s="288">
        <f t="shared" si="239"/>
        <v>0</v>
      </c>
      <c r="AK1817" s="288">
        <v>8970</v>
      </c>
      <c r="AL1817" s="288">
        <f t="shared" si="240"/>
        <v>0</v>
      </c>
      <c r="AM1817" s="288">
        <v>9400</v>
      </c>
      <c r="AN1817" s="288">
        <f t="shared" si="241"/>
        <v>0</v>
      </c>
      <c r="AO1817" s="1"/>
      <c r="AP1817" s="1"/>
    </row>
    <row r="1818" spans="1:42" ht="34.5" customHeight="1">
      <c r="B1818" s="23">
        <v>7</v>
      </c>
      <c r="C1818" s="24"/>
      <c r="D1818" s="25">
        <f t="shared" si="230"/>
        <v>6700</v>
      </c>
      <c r="E1818" s="69">
        <f t="shared" si="231"/>
        <v>8040</v>
      </c>
      <c r="F1818" s="25">
        <f t="shared" si="232"/>
        <v>7158.3333333333339</v>
      </c>
      <c r="G1818" s="69">
        <f t="shared" si="233"/>
        <v>8590</v>
      </c>
      <c r="H1818" s="25">
        <f t="shared" si="234"/>
        <v>7475</v>
      </c>
      <c r="I1818" s="69">
        <f t="shared" si="235"/>
        <v>8970</v>
      </c>
      <c r="J1818" s="25">
        <f t="shared" si="237"/>
        <v>7833.3333333333339</v>
      </c>
      <c r="K1818" s="69">
        <f t="shared" si="236"/>
        <v>9400</v>
      </c>
      <c r="L1818" s="8"/>
      <c r="P1818" s="8"/>
      <c r="AC1818" s="331">
        <v>8040</v>
      </c>
      <c r="AD1818" s="331">
        <v>8590</v>
      </c>
      <c r="AE1818" s="331">
        <v>8970</v>
      </c>
      <c r="AF1818" s="331">
        <v>9400</v>
      </c>
      <c r="AG1818" s="288">
        <v>8040</v>
      </c>
      <c r="AH1818" s="288">
        <f t="shared" si="238"/>
        <v>0</v>
      </c>
      <c r="AI1818" s="288">
        <v>8590</v>
      </c>
      <c r="AJ1818" s="288">
        <f t="shared" si="239"/>
        <v>0</v>
      </c>
      <c r="AK1818" s="288">
        <v>8970</v>
      </c>
      <c r="AL1818" s="288">
        <f t="shared" si="240"/>
        <v>0</v>
      </c>
      <c r="AM1818" s="288">
        <v>9400</v>
      </c>
      <c r="AN1818" s="288">
        <f t="shared" si="241"/>
        <v>0</v>
      </c>
      <c r="AO1818" s="1"/>
      <c r="AP1818" s="1"/>
    </row>
    <row r="1819" spans="1:42">
      <c r="C1819" s="244"/>
      <c r="D1819" s="26"/>
      <c r="E1819" s="57"/>
      <c r="F1819" s="26"/>
      <c r="G1819" s="57"/>
      <c r="H1819" s="10"/>
      <c r="I1819" s="8"/>
      <c r="J1819" s="8"/>
      <c r="K1819" s="8"/>
      <c r="L1819" s="8"/>
      <c r="P1819" s="8"/>
    </row>
    <row r="1820" spans="1:42" ht="12.75" customHeight="1">
      <c r="B1820" s="211" t="str">
        <f>IF($C$1="ENG","For additonal charge:","Послуги за додаткову плату:")</f>
        <v>Послуги за додаткову плату:</v>
      </c>
      <c r="C1820" s="419"/>
      <c r="D1820" s="212"/>
      <c r="E1820" s="213"/>
      <c r="F1820" s="26"/>
      <c r="G1820" s="57"/>
      <c r="H1820" s="10"/>
      <c r="I1820" s="8"/>
      <c r="J1820" s="8"/>
      <c r="K1820" s="8"/>
    </row>
    <row r="1821" spans="1:42" ht="4.5" customHeight="1">
      <c r="B1821" s="98"/>
      <c r="C1821" s="421"/>
      <c r="D1821" s="26"/>
      <c r="E1821" s="57"/>
      <c r="F1821" s="26"/>
      <c r="G1821" s="26"/>
      <c r="H1821" s="10"/>
      <c r="I1821" s="8"/>
      <c r="J1821" s="8"/>
      <c r="K1821" s="8"/>
    </row>
    <row r="1822" spans="1:42">
      <c r="B1822" s="561" t="str">
        <f>IF($C$1="ENG","door leaf with width 100","полотно розміром 100")</f>
        <v>полотно розміром 100</v>
      </c>
      <c r="C1822" s="562"/>
      <c r="D1822" s="15">
        <f t="shared" ref="D1822:D1833" si="242">IF(AC1822="","",(1-$W$2)*(AC1822/1.2))</f>
        <v>566.66666666666674</v>
      </c>
      <c r="E1822" s="91">
        <f t="shared" ref="E1822:E1831" si="243">IF($W$5=0.2,D1822*1.2,D1822)/$W$4</f>
        <v>680.00000000000011</v>
      </c>
      <c r="F1822" s="26"/>
      <c r="G1822" s="57"/>
      <c r="H1822" s="10"/>
      <c r="I1822" s="83"/>
      <c r="K1822" s="20"/>
      <c r="AC1822" s="297">
        <v>680</v>
      </c>
      <c r="AD1822" s="288">
        <v>680</v>
      </c>
      <c r="AE1822" s="288">
        <f>AD1822/AC1822-1</f>
        <v>0</v>
      </c>
      <c r="AF1822" s="288"/>
      <c r="AG1822" s="288"/>
      <c r="AH1822" s="288"/>
      <c r="AI1822" s="288"/>
      <c r="AJ1822" s="288"/>
      <c r="AK1822" s="288"/>
      <c r="AL1822" s="288"/>
    </row>
    <row r="1823" spans="1:42">
      <c r="B1823" s="554" t="str">
        <f>IF($C$1="ENG","glazing Triplex mat / black","скло Триплекс матовий / чорний")</f>
        <v>скло Триплекс матовий / чорний</v>
      </c>
      <c r="C1823" s="555"/>
      <c r="D1823" s="101">
        <f t="shared" si="242"/>
        <v>883.33333333333337</v>
      </c>
      <c r="E1823" s="92">
        <f t="shared" si="243"/>
        <v>1060</v>
      </c>
      <c r="F1823" s="26"/>
      <c r="G1823" s="26"/>
      <c r="I1823" s="11"/>
      <c r="J1823" s="11"/>
      <c r="K1823" s="19"/>
      <c r="AC1823" s="297">
        <v>1060</v>
      </c>
      <c r="AD1823" s="288">
        <v>1060</v>
      </c>
      <c r="AE1823" s="288">
        <f t="shared" ref="AE1823:AE1833" si="244">AD1823/AC1823-1</f>
        <v>0</v>
      </c>
      <c r="AF1823" s="288"/>
      <c r="AG1823" s="288"/>
      <c r="AH1823" s="288"/>
      <c r="AI1823" s="288"/>
      <c r="AJ1823" s="288"/>
      <c r="AK1823" s="288"/>
      <c r="AL1823" s="288"/>
    </row>
    <row r="1824" spans="1:42">
      <c r="B1824" s="554" t="str">
        <f>IF($C$1="ENG","glazing Graphite / Bronze","скло Графіт / Бронза")</f>
        <v>скло Графіт / Бронза</v>
      </c>
      <c r="C1824" s="555"/>
      <c r="D1824" s="101">
        <f t="shared" si="242"/>
        <v>650</v>
      </c>
      <c r="E1824" s="92">
        <f t="shared" si="243"/>
        <v>780</v>
      </c>
      <c r="F1824" s="26"/>
      <c r="G1824" s="140"/>
      <c r="I1824" s="11"/>
      <c r="AC1824" s="297">
        <v>780</v>
      </c>
      <c r="AD1824" s="288">
        <v>780</v>
      </c>
      <c r="AE1824" s="288">
        <f t="shared" si="244"/>
        <v>0</v>
      </c>
      <c r="AF1824" s="288"/>
      <c r="AG1824" s="288"/>
      <c r="AH1824" s="288"/>
      <c r="AI1824" s="288"/>
      <c r="AJ1824" s="288"/>
      <c r="AK1824" s="288"/>
      <c r="AL1824" s="288"/>
    </row>
    <row r="1825" spans="2:38">
      <c r="B1825" s="554" t="str">
        <f>IF($C$1="ENG","door lock Soft","замок Soft")</f>
        <v>замок Soft</v>
      </c>
      <c r="C1825" s="555"/>
      <c r="D1825" s="101">
        <f t="shared" si="242"/>
        <v>458.33333333333337</v>
      </c>
      <c r="E1825" s="92">
        <f t="shared" si="243"/>
        <v>550</v>
      </c>
      <c r="F1825" s="26"/>
      <c r="G1825" s="26"/>
      <c r="H1825" s="5"/>
      <c r="AC1825" s="297">
        <v>550</v>
      </c>
      <c r="AD1825" s="288">
        <v>550</v>
      </c>
      <c r="AE1825" s="288">
        <f t="shared" si="244"/>
        <v>0</v>
      </c>
      <c r="AF1825" s="288"/>
      <c r="AG1825" s="288"/>
      <c r="AH1825" s="288"/>
      <c r="AI1825" s="288"/>
      <c r="AJ1825" s="288"/>
      <c r="AK1825" s="288"/>
      <c r="AL1825" s="288"/>
    </row>
    <row r="1826" spans="2:38">
      <c r="B1826" s="554" t="str">
        <f>IF($C$1="ENG","door lock Soft black","замок Soft чорн.")</f>
        <v>замок Soft чорн.</v>
      </c>
      <c r="C1826" s="555"/>
      <c r="D1826" s="101">
        <f t="shared" ref="D1826" si="245">IF(AC1826="","",(1-$W$2)*(AC1826/1.2))</f>
        <v>566.66666666666674</v>
      </c>
      <c r="E1826" s="92">
        <f t="shared" ref="E1826" si="246">IF($W$5=0.2,D1826*1.2,D1826)/$W$4</f>
        <v>680.00000000000011</v>
      </c>
      <c r="F1826" s="26"/>
      <c r="G1826" s="26"/>
      <c r="H1826" s="5"/>
      <c r="AC1826" s="297">
        <v>680</v>
      </c>
      <c r="AD1826" s="288"/>
      <c r="AE1826" s="288"/>
      <c r="AF1826" s="288"/>
      <c r="AG1826" s="288"/>
      <c r="AH1826" s="288"/>
      <c r="AI1826" s="288"/>
      <c r="AJ1826" s="288"/>
      <c r="AK1826" s="288"/>
      <c r="AL1826" s="288"/>
    </row>
    <row r="1827" spans="2:38">
      <c r="B1827" s="554" t="str">
        <f>IF($C$1="ENG","door lock Magnet","замок Magnet")</f>
        <v>замок Magnet</v>
      </c>
      <c r="C1827" s="555"/>
      <c r="D1827" s="101">
        <f t="shared" si="242"/>
        <v>666.66666666666674</v>
      </c>
      <c r="E1827" s="92">
        <f t="shared" si="243"/>
        <v>800.00000000000011</v>
      </c>
      <c r="F1827" s="26"/>
      <c r="G1827" s="26"/>
      <c r="H1827" s="5"/>
      <c r="AC1827" s="297">
        <v>800</v>
      </c>
      <c r="AD1827" s="288">
        <v>800</v>
      </c>
      <c r="AE1827" s="288">
        <f t="shared" si="244"/>
        <v>0</v>
      </c>
      <c r="AF1827" s="288"/>
      <c r="AG1827" s="288"/>
      <c r="AH1827" s="288"/>
      <c r="AI1827" s="288"/>
      <c r="AJ1827" s="288"/>
      <c r="AK1827" s="288"/>
      <c r="AL1827" s="288"/>
    </row>
    <row r="1828" spans="2:38">
      <c r="B1828" s="554" t="s">
        <v>66</v>
      </c>
      <c r="C1828" s="555"/>
      <c r="D1828" s="101">
        <f t="shared" ref="D1828" si="247">IF(AC1828="","",(1-$W$2)*(AC1828/1.2))</f>
        <v>833.33333333333337</v>
      </c>
      <c r="E1828" s="92">
        <f t="shared" ref="E1828" si="248">IF($W$5=0.2,D1828*1.2,D1828)/$W$4</f>
        <v>1000</v>
      </c>
      <c r="F1828" s="26"/>
      <c r="G1828" s="26"/>
      <c r="H1828" s="5"/>
      <c r="AC1828" s="297">
        <v>1000</v>
      </c>
      <c r="AD1828" s="288"/>
      <c r="AE1828" s="288"/>
      <c r="AF1828" s="288"/>
      <c r="AG1828" s="288"/>
      <c r="AH1828" s="288"/>
      <c r="AI1828" s="288"/>
      <c r="AJ1828" s="288"/>
      <c r="AK1828" s="288"/>
      <c r="AL1828" s="288"/>
    </row>
    <row r="1829" spans="2:38">
      <c r="B1829" s="554" t="str">
        <f>IF($C$1="ENG","cylinder incert","циліндр несиметричний")</f>
        <v>циліндр несиметричний</v>
      </c>
      <c r="C1829" s="555"/>
      <c r="D1829" s="132">
        <f t="shared" si="242"/>
        <v>316.66666666666669</v>
      </c>
      <c r="E1829" s="66">
        <f t="shared" si="243"/>
        <v>380</v>
      </c>
      <c r="F1829" s="26"/>
      <c r="G1829" s="26"/>
      <c r="AC1829" s="297">
        <v>380</v>
      </c>
      <c r="AD1829" s="288">
        <v>380</v>
      </c>
      <c r="AE1829" s="288">
        <f t="shared" si="244"/>
        <v>0</v>
      </c>
      <c r="AF1829" s="288"/>
      <c r="AG1829" s="288"/>
      <c r="AH1829" s="288"/>
      <c r="AI1829" s="288"/>
      <c r="AJ1829" s="288"/>
      <c r="AK1829" s="288"/>
      <c r="AL1829" s="288"/>
    </row>
    <row r="1830" spans="2:38">
      <c r="B1830" s="554" t="str">
        <f>IF($C$1="ENG","door hindge Prestige (1 unit)","завіса Prestige (1 шт)")</f>
        <v>завіса Prestige (1 шт)</v>
      </c>
      <c r="C1830" s="555"/>
      <c r="D1830" s="134">
        <f t="shared" si="242"/>
        <v>216.66666666666669</v>
      </c>
      <c r="E1830" s="66">
        <f t="shared" si="243"/>
        <v>260</v>
      </c>
      <c r="F1830" s="26"/>
      <c r="G1830" s="26"/>
      <c r="AC1830" s="297">
        <v>260</v>
      </c>
      <c r="AD1830" s="288">
        <v>260</v>
      </c>
      <c r="AE1830" s="288">
        <f t="shared" si="244"/>
        <v>0</v>
      </c>
      <c r="AF1830" s="288"/>
      <c r="AG1830" s="288"/>
      <c r="AH1830" s="288"/>
      <c r="AI1830" s="288"/>
      <c r="AJ1830" s="288"/>
      <c r="AK1830" s="288"/>
      <c r="AL1830" s="288"/>
    </row>
    <row r="1831" spans="2:38">
      <c r="B1831" s="554" t="str">
        <f>IF($C$1="ENG","door hinge caps (1 set)","накладка на завіси (1 к-т)")</f>
        <v>накладка на завіси (1 к-т)</v>
      </c>
      <c r="C1831" s="555"/>
      <c r="D1831" s="134">
        <f t="shared" si="242"/>
        <v>66.666666666666671</v>
      </c>
      <c r="E1831" s="66">
        <f t="shared" si="243"/>
        <v>80</v>
      </c>
      <c r="F1831" s="26"/>
      <c r="G1831" s="26"/>
      <c r="AC1831" s="297">
        <v>80</v>
      </c>
      <c r="AD1831" s="288">
        <v>80</v>
      </c>
      <c r="AE1831" s="288">
        <f t="shared" si="244"/>
        <v>0</v>
      </c>
      <c r="AF1831" s="288"/>
      <c r="AG1831" s="288"/>
      <c r="AH1831" s="288"/>
      <c r="AI1831" s="288"/>
      <c r="AJ1831" s="288"/>
      <c r="AK1831" s="288"/>
      <c r="AL1831" s="288"/>
    </row>
    <row r="1832" spans="2:38">
      <c r="B1832" s="554" t="str">
        <f>IF($C$1="ENG","door handle","дверна ручка")</f>
        <v>дверна ручка</v>
      </c>
      <c r="C1832" s="555"/>
      <c r="D1832" s="132">
        <f t="shared" si="242"/>
        <v>0</v>
      </c>
      <c r="E1832" s="135" t="str">
        <f>IF($C$1="ENG","see Handles Price","див. Таблицю Ручки")</f>
        <v>див. Таблицю Ручки</v>
      </c>
      <c r="F1832" s="26"/>
      <c r="G1832" s="26"/>
      <c r="AC1832" s="297">
        <v>0</v>
      </c>
      <c r="AD1832" s="288">
        <f t="shared" ref="AD1832" si="249">AC1832/100*13+AC1832</f>
        <v>0</v>
      </c>
      <c r="AE1832" s="288" t="e">
        <f t="shared" si="244"/>
        <v>#DIV/0!</v>
      </c>
      <c r="AF1832" s="288"/>
      <c r="AG1832" s="288"/>
      <c r="AH1832" s="288"/>
      <c r="AI1832" s="288"/>
      <c r="AJ1832" s="288"/>
      <c r="AK1832" s="288"/>
      <c r="AL1832" s="288"/>
    </row>
    <row r="1833" spans="2:38">
      <c r="B1833" s="554" t="str">
        <f>IF($C$1="ENG","perforated chipboard","ДСП трубчасте")</f>
        <v>ДСП трубчасте</v>
      </c>
      <c r="C1833" s="555"/>
      <c r="D1833" s="133">
        <f t="shared" si="242"/>
        <v>775</v>
      </c>
      <c r="E1833" s="69">
        <f>IF($W$5=0.2,D1833*1.2,D1833)/$W$4</f>
        <v>930</v>
      </c>
      <c r="F1833" s="26"/>
      <c r="G1833" s="26"/>
      <c r="AC1833" s="297">
        <v>930</v>
      </c>
      <c r="AD1833" s="288">
        <v>930</v>
      </c>
      <c r="AE1833" s="288">
        <f t="shared" si="244"/>
        <v>0</v>
      </c>
      <c r="AF1833" s="288"/>
      <c r="AG1833" s="288"/>
      <c r="AH1833" s="288"/>
      <c r="AI1833" s="288"/>
      <c r="AJ1833" s="288"/>
      <c r="AK1833" s="288"/>
      <c r="AL1833" s="288"/>
    </row>
    <row r="1834" spans="2:38" ht="14.25" customHeight="1">
      <c r="C1834" s="244"/>
      <c r="D1834" s="26"/>
      <c r="E1834" s="26"/>
      <c r="F1834" s="26"/>
      <c r="G1834" s="26"/>
      <c r="H1834" s="5"/>
      <c r="T1834" s="536" t="str">
        <f>IF($C$1="ENG",CONCATENATE("down to: ",B1884),CONCATENATE("вниз до: ",B1884))</f>
        <v>вниз до: Полотна скляні: ЕЛЕГАНТ</v>
      </c>
      <c r="U1834" s="536"/>
      <c r="V1834" s="536"/>
      <c r="W1834" s="536"/>
    </row>
    <row r="1835" spans="2:38" ht="14.25" customHeight="1">
      <c r="C1835" s="244"/>
      <c r="D1835" s="26"/>
      <c r="E1835" s="26"/>
      <c r="F1835" s="26"/>
      <c r="G1835" s="26"/>
      <c r="H1835" s="5"/>
    </row>
    <row r="1836" spans="2:38" ht="14.25" customHeight="1">
      <c r="C1836" s="244"/>
      <c r="D1836" s="26"/>
      <c r="E1836" s="26"/>
      <c r="F1836" s="26"/>
      <c r="G1836" s="26"/>
      <c r="H1836" s="5"/>
    </row>
    <row r="1837" spans="2:38" ht="14.25" customHeight="1">
      <c r="C1837" s="244"/>
      <c r="D1837" s="26"/>
      <c r="E1837" s="26"/>
      <c r="F1837" s="26"/>
      <c r="G1837" s="26"/>
      <c r="H1837" s="5"/>
    </row>
    <row r="1838" spans="2:38" ht="14.25" customHeight="1">
      <c r="C1838" s="244"/>
      <c r="D1838" s="26"/>
      <c r="E1838" s="26"/>
      <c r="F1838" s="26"/>
      <c r="G1838" s="26"/>
      <c r="H1838" s="5"/>
    </row>
    <row r="1839" spans="2:38" ht="14.25" customHeight="1">
      <c r="C1839" s="244"/>
      <c r="D1839" s="26"/>
      <c r="E1839" s="26"/>
      <c r="F1839" s="26"/>
      <c r="G1839" s="26"/>
      <c r="H1839" s="5"/>
    </row>
    <row r="1840" spans="2:38" ht="14.25" customHeight="1">
      <c r="C1840" s="244"/>
      <c r="D1840" s="26"/>
      <c r="E1840" s="26"/>
      <c r="F1840" s="26"/>
      <c r="G1840" s="26"/>
      <c r="H1840" s="5"/>
    </row>
    <row r="1841" spans="3:8" ht="14.25" customHeight="1">
      <c r="C1841" s="244"/>
      <c r="D1841" s="26"/>
      <c r="E1841" s="26"/>
      <c r="F1841" s="26"/>
      <c r="G1841" s="26"/>
      <c r="H1841" s="5"/>
    </row>
    <row r="1842" spans="3:8" ht="14.25" customHeight="1">
      <c r="C1842" s="244"/>
      <c r="D1842" s="26"/>
      <c r="E1842" s="26"/>
      <c r="F1842" s="26"/>
      <c r="G1842" s="26"/>
      <c r="H1842" s="5"/>
    </row>
    <row r="1843" spans="3:8" ht="14.25" customHeight="1">
      <c r="C1843" s="244"/>
      <c r="D1843" s="26"/>
      <c r="E1843" s="26"/>
      <c r="F1843" s="26"/>
      <c r="G1843" s="26"/>
      <c r="H1843" s="5"/>
    </row>
    <row r="1844" spans="3:8" ht="14.25" customHeight="1">
      <c r="C1844" s="244"/>
      <c r="D1844" s="26"/>
      <c r="E1844" s="26"/>
      <c r="F1844" s="26"/>
      <c r="G1844" s="26"/>
      <c r="H1844" s="5"/>
    </row>
    <row r="1845" spans="3:8" ht="14.25" customHeight="1">
      <c r="C1845" s="244"/>
      <c r="D1845" s="26"/>
      <c r="E1845" s="26"/>
      <c r="F1845" s="26"/>
      <c r="G1845" s="26"/>
      <c r="H1845" s="5"/>
    </row>
    <row r="1846" spans="3:8" ht="14.25" customHeight="1">
      <c r="C1846" s="244"/>
      <c r="D1846" s="26"/>
      <c r="E1846" s="26"/>
      <c r="F1846" s="26"/>
      <c r="G1846" s="26"/>
      <c r="H1846" s="5"/>
    </row>
    <row r="1847" spans="3:8" ht="14.25" customHeight="1">
      <c r="C1847" s="244"/>
      <c r="D1847" s="26"/>
      <c r="E1847" s="26"/>
      <c r="F1847" s="26"/>
      <c r="G1847" s="26"/>
      <c r="H1847" s="5"/>
    </row>
    <row r="1848" spans="3:8" ht="14.25" customHeight="1">
      <c r="C1848" s="244"/>
      <c r="D1848" s="26"/>
      <c r="E1848" s="26"/>
      <c r="F1848" s="26"/>
      <c r="G1848" s="26"/>
      <c r="H1848" s="5"/>
    </row>
    <row r="1849" spans="3:8" ht="14.25" customHeight="1">
      <c r="C1849" s="244"/>
      <c r="D1849" s="26"/>
      <c r="E1849" s="26"/>
      <c r="F1849" s="26"/>
      <c r="G1849" s="26"/>
      <c r="H1849" s="5"/>
    </row>
    <row r="1850" spans="3:8" ht="14.25" customHeight="1">
      <c r="C1850" s="244"/>
      <c r="D1850" s="26"/>
      <c r="E1850" s="26"/>
      <c r="F1850" s="26"/>
      <c r="G1850" s="26"/>
      <c r="H1850" s="5"/>
    </row>
    <row r="1851" spans="3:8" ht="14.25" customHeight="1">
      <c r="C1851" s="244"/>
      <c r="D1851" s="26"/>
      <c r="E1851" s="26"/>
      <c r="F1851" s="26"/>
      <c r="G1851" s="26"/>
      <c r="H1851" s="5"/>
    </row>
    <row r="1852" spans="3:8" ht="14.25" customHeight="1">
      <c r="C1852" s="244"/>
      <c r="D1852" s="26"/>
      <c r="E1852" s="26"/>
      <c r="F1852" s="26"/>
      <c r="G1852" s="26"/>
      <c r="H1852" s="5"/>
    </row>
    <row r="1853" spans="3:8" ht="14.25" customHeight="1">
      <c r="C1853" s="244"/>
      <c r="D1853" s="26"/>
      <c r="E1853" s="26"/>
      <c r="F1853" s="26"/>
      <c r="G1853" s="26"/>
      <c r="H1853" s="5"/>
    </row>
    <row r="1854" spans="3:8" ht="14.25" customHeight="1">
      <c r="C1854" s="244"/>
      <c r="D1854" s="26"/>
      <c r="E1854" s="26"/>
      <c r="F1854" s="26"/>
      <c r="G1854" s="26"/>
      <c r="H1854" s="5"/>
    </row>
    <row r="1855" spans="3:8" ht="14.25" customHeight="1">
      <c r="C1855" s="244"/>
      <c r="D1855" s="26"/>
      <c r="E1855" s="26"/>
      <c r="F1855" s="26"/>
      <c r="G1855" s="26"/>
      <c r="H1855" s="5"/>
    </row>
    <row r="1856" spans="3:8" ht="14.25" customHeight="1">
      <c r="C1856" s="244"/>
      <c r="D1856" s="26"/>
      <c r="E1856" s="26"/>
      <c r="F1856" s="26"/>
      <c r="G1856" s="26"/>
      <c r="H1856" s="5"/>
    </row>
    <row r="1857" spans="3:8" ht="14.25" customHeight="1">
      <c r="C1857" s="244"/>
      <c r="D1857" s="26"/>
      <c r="E1857" s="26"/>
      <c r="F1857" s="26"/>
      <c r="G1857" s="26"/>
      <c r="H1857" s="5"/>
    </row>
    <row r="1858" spans="3:8" ht="14.25" customHeight="1">
      <c r="C1858" s="244"/>
      <c r="D1858" s="26"/>
      <c r="E1858" s="26"/>
      <c r="F1858" s="26"/>
      <c r="G1858" s="26"/>
      <c r="H1858" s="5"/>
    </row>
    <row r="1859" spans="3:8" ht="14.25" customHeight="1">
      <c r="C1859" s="244"/>
      <c r="D1859" s="26"/>
      <c r="E1859" s="26"/>
      <c r="F1859" s="26"/>
      <c r="G1859" s="26"/>
      <c r="H1859" s="5"/>
    </row>
    <row r="1860" spans="3:8" ht="14.25" customHeight="1">
      <c r="C1860" s="244"/>
      <c r="D1860" s="26"/>
      <c r="E1860" s="26"/>
      <c r="F1860" s="26"/>
      <c r="G1860" s="26"/>
      <c r="H1860" s="5"/>
    </row>
    <row r="1861" spans="3:8" ht="14.25" customHeight="1">
      <c r="C1861" s="244"/>
      <c r="D1861" s="26"/>
      <c r="E1861" s="26"/>
      <c r="F1861" s="26"/>
      <c r="G1861" s="26"/>
      <c r="H1861" s="5"/>
    </row>
    <row r="1862" spans="3:8" ht="14.25" customHeight="1">
      <c r="C1862" s="244"/>
      <c r="D1862" s="26"/>
      <c r="E1862" s="26"/>
      <c r="F1862" s="26"/>
      <c r="G1862" s="26"/>
      <c r="H1862" s="5"/>
    </row>
    <row r="1863" spans="3:8" ht="14.25" customHeight="1">
      <c r="C1863" s="244"/>
      <c r="D1863" s="26"/>
      <c r="E1863" s="26"/>
      <c r="F1863" s="26"/>
      <c r="G1863" s="26"/>
      <c r="H1863" s="5"/>
    </row>
    <row r="1864" spans="3:8" ht="14.25" customHeight="1">
      <c r="C1864" s="244"/>
      <c r="D1864" s="26"/>
      <c r="E1864" s="26"/>
      <c r="F1864" s="26"/>
      <c r="G1864" s="26"/>
      <c r="H1864" s="5"/>
    </row>
    <row r="1865" spans="3:8" ht="14.25" customHeight="1">
      <c r="C1865" s="244"/>
      <c r="D1865" s="26"/>
      <c r="E1865" s="26"/>
      <c r="F1865" s="26"/>
      <c r="G1865" s="26"/>
      <c r="H1865" s="5"/>
    </row>
    <row r="1866" spans="3:8" ht="14.25" customHeight="1">
      <c r="C1866" s="244"/>
      <c r="D1866" s="26"/>
      <c r="E1866" s="26"/>
      <c r="F1866" s="26"/>
      <c r="G1866" s="26"/>
      <c r="H1866" s="5"/>
    </row>
    <row r="1867" spans="3:8" ht="14.25" customHeight="1">
      <c r="C1867" s="244"/>
      <c r="D1867" s="26"/>
      <c r="E1867" s="26"/>
      <c r="F1867" s="26"/>
      <c r="G1867" s="26"/>
      <c r="H1867" s="5"/>
    </row>
    <row r="1868" spans="3:8" ht="14.25" customHeight="1">
      <c r="C1868" s="244"/>
      <c r="D1868" s="26"/>
      <c r="E1868" s="26"/>
      <c r="F1868" s="26"/>
      <c r="G1868" s="26"/>
      <c r="H1868" s="5"/>
    </row>
    <row r="1869" spans="3:8" ht="14.25" customHeight="1">
      <c r="C1869" s="244"/>
      <c r="D1869" s="26"/>
      <c r="E1869" s="26"/>
      <c r="F1869" s="26"/>
      <c r="G1869" s="26"/>
      <c r="H1869" s="5"/>
    </row>
    <row r="1870" spans="3:8" ht="14.25" customHeight="1">
      <c r="C1870" s="244"/>
      <c r="D1870" s="26"/>
      <c r="E1870" s="26"/>
      <c r="F1870" s="26"/>
      <c r="G1870" s="26"/>
      <c r="H1870" s="5"/>
    </row>
    <row r="1871" spans="3:8" ht="14.25" customHeight="1">
      <c r="C1871" s="244"/>
      <c r="D1871" s="26"/>
      <c r="E1871" s="26"/>
      <c r="F1871" s="26"/>
      <c r="G1871" s="26"/>
      <c r="H1871" s="5"/>
    </row>
    <row r="1872" spans="3:8" ht="14.25" customHeight="1">
      <c r="C1872" s="244"/>
      <c r="D1872" s="26"/>
      <c r="E1872" s="26"/>
      <c r="F1872" s="26"/>
      <c r="G1872" s="26"/>
      <c r="H1872" s="5"/>
    </row>
    <row r="1873" spans="1:46" ht="14.25" customHeight="1">
      <c r="C1873" s="244"/>
      <c r="D1873" s="26"/>
      <c r="E1873" s="26"/>
      <c r="F1873" s="26"/>
      <c r="G1873" s="26"/>
      <c r="H1873" s="5"/>
    </row>
    <row r="1874" spans="1:46" ht="14.25" customHeight="1">
      <c r="C1874" s="244"/>
      <c r="D1874" s="26"/>
      <c r="E1874" s="26"/>
      <c r="F1874" s="26"/>
      <c r="G1874" s="26"/>
      <c r="H1874" s="5"/>
    </row>
    <row r="1875" spans="1:46" ht="14.25" customHeight="1">
      <c r="C1875" s="244"/>
      <c r="D1875" s="26"/>
      <c r="E1875" s="26"/>
      <c r="F1875" s="26"/>
      <c r="G1875" s="26"/>
      <c r="H1875" s="5"/>
    </row>
    <row r="1876" spans="1:46" ht="14.25" customHeight="1">
      <c r="C1876" s="244"/>
      <c r="D1876" s="26"/>
      <c r="E1876" s="26"/>
      <c r="F1876" s="26"/>
      <c r="G1876" s="26"/>
      <c r="H1876" s="5"/>
    </row>
    <row r="1877" spans="1:46" ht="14.25" customHeight="1">
      <c r="C1877" s="244"/>
      <c r="D1877" s="26"/>
      <c r="E1877" s="26"/>
      <c r="F1877" s="26"/>
      <c r="G1877" s="26"/>
      <c r="H1877" s="5"/>
    </row>
    <row r="1878" spans="1:46" ht="14.25" customHeight="1">
      <c r="C1878" s="244"/>
      <c r="D1878" s="26"/>
      <c r="E1878" s="26"/>
      <c r="F1878" s="26"/>
      <c r="G1878" s="26"/>
      <c r="H1878" s="5"/>
    </row>
    <row r="1879" spans="1:46" ht="14.25" customHeight="1">
      <c r="C1879" s="244"/>
      <c r="D1879" s="26"/>
      <c r="E1879" s="26"/>
      <c r="F1879" s="26"/>
      <c r="G1879" s="26"/>
      <c r="H1879" s="5"/>
    </row>
    <row r="1880" spans="1:46" ht="14.25" customHeight="1">
      <c r="C1880" s="244"/>
      <c r="D1880" s="26"/>
      <c r="E1880" s="26"/>
      <c r="F1880" s="26"/>
      <c r="G1880" s="26"/>
      <c r="H1880" s="5"/>
    </row>
    <row r="1881" spans="1:46" ht="14.25" customHeight="1">
      <c r="C1881" s="244"/>
      <c r="D1881" s="26"/>
      <c r="E1881" s="26"/>
      <c r="F1881" s="26"/>
      <c r="G1881" s="26"/>
      <c r="H1881" s="5"/>
    </row>
    <row r="1882" spans="1:46" ht="14.25" customHeight="1">
      <c r="C1882" s="244"/>
      <c r="D1882" s="26"/>
      <c r="E1882" s="26"/>
      <c r="F1882" s="26"/>
      <c r="G1882" s="26"/>
      <c r="H1882" s="5"/>
    </row>
    <row r="1883" spans="1:46" s="8" customFormat="1">
      <c r="B1883" s="1"/>
      <c r="C1883" s="244"/>
      <c r="D1883" s="26"/>
      <c r="E1883" s="26"/>
      <c r="F1883" s="26"/>
      <c r="G1883" s="26"/>
      <c r="H1883" s="5"/>
      <c r="I1883" s="1"/>
      <c r="J1883" s="1"/>
      <c r="K1883" s="1"/>
      <c r="AN1883" s="279"/>
      <c r="AO1883" s="279"/>
      <c r="AP1883" s="279"/>
      <c r="AQ1883" s="279"/>
      <c r="AR1883" s="279"/>
      <c r="AS1883" s="279"/>
      <c r="AT1883" s="279"/>
    </row>
    <row r="1884" spans="1:46" s="8" customFormat="1" ht="12.75" customHeight="1">
      <c r="B1884" s="550" t="str">
        <f>TITLE!$C$31</f>
        <v>Полотна скляні: ЕЛЕГАНТ</v>
      </c>
      <c r="C1884" s="550"/>
      <c r="D1884" s="117"/>
      <c r="E1884" s="117"/>
      <c r="F1884" s="117"/>
      <c r="G1884" s="117"/>
      <c r="H1884" s="117"/>
      <c r="I1884" s="120"/>
      <c r="J1884" s="120"/>
      <c r="K1884" s="120"/>
      <c r="L1884" s="120"/>
      <c r="M1884" s="120"/>
      <c r="N1884" s="120"/>
      <c r="O1884" s="120"/>
      <c r="P1884" s="120"/>
      <c r="Q1884" s="120"/>
      <c r="R1884" s="120"/>
      <c r="S1884" s="120"/>
      <c r="T1884" s="544" t="str">
        <f>IF($C$1="ENG",CONCATENATE("up to: ",B1807),CONCATENATE("вгору до: ",B1807))</f>
        <v>вгору до: Полотна скляні: ЛАЙН</v>
      </c>
      <c r="U1884" s="544"/>
      <c r="V1884" s="544"/>
      <c r="W1884" s="544"/>
      <c r="AN1884" s="279"/>
      <c r="AO1884" s="279"/>
      <c r="AP1884" s="279"/>
      <c r="AQ1884" s="279"/>
      <c r="AR1884" s="279"/>
      <c r="AS1884" s="279"/>
      <c r="AT1884" s="279"/>
    </row>
    <row r="1885" spans="1:46" ht="4.5" customHeight="1">
      <c r="A1885" s="8"/>
      <c r="B1885" s="116"/>
      <c r="C1885" s="418"/>
      <c r="D1885" s="9"/>
      <c r="E1885" s="9"/>
      <c r="F1885" s="10"/>
      <c r="G1885" s="10"/>
      <c r="H1885" s="10"/>
      <c r="I1885" s="8"/>
      <c r="J1885" s="8"/>
      <c r="K1885" s="8"/>
      <c r="L1885" s="8"/>
      <c r="M1885" s="11"/>
      <c r="P1885" s="8"/>
      <c r="Q1885" s="11"/>
    </row>
    <row r="1886" spans="1:46" ht="12.75" customHeight="1">
      <c r="A1886" s="8"/>
      <c r="B1886" s="556" t="str">
        <f>IF($C$1="ENG","model","модель")</f>
        <v>модель</v>
      </c>
      <c r="C1886" s="121" t="str">
        <f>IF($C$1="ENG","cover:","покриття:")</f>
        <v>покриття:</v>
      </c>
      <c r="D1886" s="538" t="str">
        <f>IF($C$1="ENG","VERTO-CELL","VERTO-CELL")</f>
        <v>VERTO-CELL</v>
      </c>
      <c r="E1886" s="539"/>
      <c r="F1886" s="538" t="str">
        <f>IF($C$1="ENG","RESIST","RESIST")</f>
        <v>RESIST</v>
      </c>
      <c r="G1886" s="539"/>
      <c r="H1886" s="538" t="str">
        <f>IF($C$1="ENG","Verto LINE-3D","Verto LINE-3D")</f>
        <v>Verto LINE-3D</v>
      </c>
      <c r="I1886" s="539"/>
      <c r="J1886" s="538" t="str">
        <f>IF($C$1="ENG","ECO Shpon","ЕКО Шпон")</f>
        <v>ЕКО Шпон</v>
      </c>
      <c r="K1886" s="539"/>
      <c r="L1886" s="8"/>
      <c r="M1886" s="11"/>
      <c r="P1886" s="8"/>
      <c r="Q1886" s="11"/>
    </row>
    <row r="1887" spans="1:46" ht="24.75" customHeight="1">
      <c r="A1887" s="8"/>
      <c r="B1887" s="557"/>
      <c r="C1887" s="122" t="str">
        <f>IF($C$1="ENG","filling:","заповнення:")</f>
        <v>заповнення:</v>
      </c>
      <c r="D1887" s="540" t="str">
        <f>IF($C$1="ENG","softwood","клеєний сосновий брус")</f>
        <v>клеєний сосновий брус</v>
      </c>
      <c r="E1887" s="541"/>
      <c r="F1887" s="540" t="str">
        <f>IF($C$1="ENG","softwood","клеєний сосновий брус")</f>
        <v>клеєний сосновий брус</v>
      </c>
      <c r="G1887" s="541"/>
      <c r="H1887" s="540" t="str">
        <f>IF($C$1="ENG","softwood","клеєний сосновий брус")</f>
        <v>клеєний сосновий брус</v>
      </c>
      <c r="I1887" s="541"/>
      <c r="J1887" s="540" t="str">
        <f>IF($C$1="ENG","softwood","клеєний сосновий брус")</f>
        <v>клеєний сосновий брус</v>
      </c>
      <c r="K1887" s="541"/>
      <c r="L1887" s="8"/>
      <c r="M1887" s="11"/>
      <c r="P1887" s="8"/>
      <c r="Q1887" s="11"/>
    </row>
    <row r="1888" spans="1:46">
      <c r="A1888" s="8"/>
      <c r="B1888" s="558"/>
      <c r="C1888" s="123" t="str">
        <f>IF($C$1="ENG","glazing:","скління:")</f>
        <v>скління:</v>
      </c>
      <c r="D1888" s="542" t="str">
        <f>IF($C$1="ENG","Drawing / Satin (1)","Малюнок / Сатин (1)")</f>
        <v>Малюнок / Сатин (1)</v>
      </c>
      <c r="E1888" s="543"/>
      <c r="F1888" s="542" t="str">
        <f>IF($C$1="ENG","Drawing / Satin (1)","Малюнок / Сатин (1)")</f>
        <v>Малюнок / Сатин (1)</v>
      </c>
      <c r="G1888" s="543"/>
      <c r="H1888" s="542" t="str">
        <f>IF($C$1="ENG","Drawing / Satin (1)","Малюнок / Сатин (1)")</f>
        <v>Малюнок / Сатин (1)</v>
      </c>
      <c r="I1888" s="543"/>
      <c r="J1888" s="542" t="str">
        <f>IF($C$1="ENG","Drawing / Satin (1)","Малюнок / Сатин (1)")</f>
        <v>Малюнок / Сатин (1)</v>
      </c>
      <c r="K1888" s="543"/>
      <c r="L1888" s="103"/>
      <c r="M1888" s="20"/>
      <c r="N1888" s="103"/>
      <c r="O1888" s="20"/>
      <c r="P1888" s="103"/>
      <c r="Q1888" s="20"/>
      <c r="R1888" s="103"/>
      <c r="S1888" s="20"/>
      <c r="T1888" s="103"/>
      <c r="V1888" s="103"/>
      <c r="W1888" s="20"/>
      <c r="X1888" s="22"/>
      <c r="Y1888" s="22"/>
      <c r="Z1888" s="22"/>
      <c r="AA1888" s="22"/>
      <c r="AB1888" s="22"/>
    </row>
    <row r="1889" spans="1:42" ht="35.1" customHeight="1">
      <c r="A1889" s="8"/>
      <c r="B1889" s="13">
        <v>1</v>
      </c>
      <c r="C1889" s="14"/>
      <c r="D1889" s="15">
        <f t="shared" ref="D1889:D1895" si="250">IF(AC1889="","",(1-$W$2)*(AC1889/1.2))</f>
        <v>6500</v>
      </c>
      <c r="E1889" s="64">
        <f t="shared" ref="E1889:E1895" si="251">IF($W$5=0.2,D1889*1.2,D1889)/$W$4</f>
        <v>7800</v>
      </c>
      <c r="F1889" s="15">
        <f t="shared" ref="F1889:F1895" si="252">IF(AD1889="","",(1-$W$2)*(AD1889/1.2))</f>
        <v>7266.666666666667</v>
      </c>
      <c r="G1889" s="64">
        <f t="shared" ref="G1889:G1895" si="253">IF($W$5=0.2,F1889*1.2,F1889)/$W$4</f>
        <v>8720</v>
      </c>
      <c r="H1889" s="15">
        <f t="shared" ref="H1889:H1895" si="254">IF(AE1889="","",(1-$W$2)*(AE1889/1.2))</f>
        <v>7625</v>
      </c>
      <c r="I1889" s="64">
        <f t="shared" ref="I1889:I1895" si="255">IF($W$5=0.2,H1889*1.2,H1889)/$W$4</f>
        <v>9150</v>
      </c>
      <c r="J1889" s="15">
        <f>IF(AF1889="","",(1-$W$2)*(AF1889/1.2))</f>
        <v>7991.666666666667</v>
      </c>
      <c r="K1889" s="64">
        <f t="shared" ref="K1889:K1895" si="256">IF($W$5=0.2,J1889*1.2,J1889)/$W$4</f>
        <v>9590</v>
      </c>
      <c r="L1889" s="103"/>
      <c r="M1889" s="20"/>
      <c r="N1889" s="103"/>
      <c r="O1889" s="20"/>
      <c r="P1889" s="103"/>
      <c r="Q1889" s="20"/>
      <c r="R1889" s="103"/>
      <c r="S1889" s="20"/>
      <c r="T1889" s="103"/>
      <c r="V1889" s="103"/>
      <c r="W1889" s="20"/>
      <c r="AC1889" s="331">
        <v>7800</v>
      </c>
      <c r="AD1889" s="331">
        <v>8720</v>
      </c>
      <c r="AE1889" s="331">
        <v>9150</v>
      </c>
      <c r="AF1889" s="331">
        <v>9590</v>
      </c>
      <c r="AG1889" s="288">
        <v>7800</v>
      </c>
      <c r="AH1889" s="288">
        <f>AG1889/AC1889-1</f>
        <v>0</v>
      </c>
      <c r="AI1889" s="288">
        <v>8720</v>
      </c>
      <c r="AJ1889" s="288">
        <f>AI1889/AD1889-1</f>
        <v>0</v>
      </c>
      <c r="AK1889" s="288">
        <v>9150</v>
      </c>
      <c r="AL1889" s="288">
        <f>AK1889/AE1889-1</f>
        <v>0</v>
      </c>
      <c r="AM1889" s="288">
        <v>9590</v>
      </c>
      <c r="AN1889" s="288">
        <f>AM1889/AF1889-1</f>
        <v>0</v>
      </c>
      <c r="AO1889" s="1"/>
      <c r="AP1889" s="1"/>
    </row>
    <row r="1890" spans="1:42" ht="35.1" customHeight="1">
      <c r="A1890" s="8"/>
      <c r="B1890" s="16">
        <v>2</v>
      </c>
      <c r="C1890" s="17"/>
      <c r="D1890" s="18">
        <f t="shared" si="250"/>
        <v>7133.3333333333339</v>
      </c>
      <c r="E1890" s="66">
        <f t="shared" si="251"/>
        <v>8560</v>
      </c>
      <c r="F1890" s="18">
        <f t="shared" si="252"/>
        <v>7991.666666666667</v>
      </c>
      <c r="G1890" s="66">
        <f t="shared" si="253"/>
        <v>9590</v>
      </c>
      <c r="H1890" s="18">
        <f t="shared" si="254"/>
        <v>8333.3333333333339</v>
      </c>
      <c r="I1890" s="66">
        <f t="shared" si="255"/>
        <v>10000</v>
      </c>
      <c r="J1890" s="18">
        <f t="shared" ref="J1890:J1895" si="257">IF(AF1890="","",(1-$W$2)*(AF1890/1.2))</f>
        <v>8700</v>
      </c>
      <c r="K1890" s="66">
        <f t="shared" si="256"/>
        <v>10440</v>
      </c>
      <c r="L1890" s="103"/>
      <c r="M1890" s="20"/>
      <c r="N1890" s="103"/>
      <c r="O1890" s="20"/>
      <c r="P1890" s="103"/>
      <c r="Q1890" s="20"/>
      <c r="R1890" s="103"/>
      <c r="S1890" s="20"/>
      <c r="T1890" s="103"/>
      <c r="V1890" s="103"/>
      <c r="W1890" s="20"/>
      <c r="AC1890" s="331">
        <v>8560</v>
      </c>
      <c r="AD1890" s="331">
        <v>9590</v>
      </c>
      <c r="AE1890" s="331">
        <v>10000</v>
      </c>
      <c r="AF1890" s="331">
        <v>10440</v>
      </c>
      <c r="AG1890" s="288">
        <v>8560</v>
      </c>
      <c r="AH1890" s="288">
        <f t="shared" ref="AH1890:AH1895" si="258">AG1890/AC1890-1</f>
        <v>0</v>
      </c>
      <c r="AI1890" s="288">
        <v>9590</v>
      </c>
      <c r="AJ1890" s="288">
        <f t="shared" ref="AJ1890:AJ1895" si="259">AI1890/AD1890-1</f>
        <v>0</v>
      </c>
      <c r="AK1890" s="288">
        <v>10000</v>
      </c>
      <c r="AL1890" s="288">
        <f t="shared" ref="AL1890:AL1895" si="260">AK1890/AE1890-1</f>
        <v>0</v>
      </c>
      <c r="AM1890" s="288">
        <v>10440</v>
      </c>
      <c r="AN1890" s="288">
        <f t="shared" ref="AN1890:AN1895" si="261">AM1890/AF1890-1</f>
        <v>0</v>
      </c>
      <c r="AO1890" s="1"/>
      <c r="AP1890" s="1"/>
    </row>
    <row r="1891" spans="1:42" ht="35.1" customHeight="1">
      <c r="A1891" s="8"/>
      <c r="B1891" s="16">
        <v>3</v>
      </c>
      <c r="C1891" s="17"/>
      <c r="D1891" s="18">
        <f t="shared" si="250"/>
        <v>7133.3333333333339</v>
      </c>
      <c r="E1891" s="66">
        <f t="shared" si="251"/>
        <v>8560</v>
      </c>
      <c r="F1891" s="18">
        <f t="shared" si="252"/>
        <v>7991.666666666667</v>
      </c>
      <c r="G1891" s="66">
        <f t="shared" si="253"/>
        <v>9590</v>
      </c>
      <c r="H1891" s="18">
        <f t="shared" si="254"/>
        <v>8333.3333333333339</v>
      </c>
      <c r="I1891" s="66">
        <f t="shared" si="255"/>
        <v>10000</v>
      </c>
      <c r="J1891" s="18">
        <f t="shared" si="257"/>
        <v>8700</v>
      </c>
      <c r="K1891" s="66">
        <f t="shared" si="256"/>
        <v>10440</v>
      </c>
      <c r="L1891" s="103"/>
      <c r="M1891" s="20"/>
      <c r="N1891" s="103"/>
      <c r="O1891" s="20"/>
      <c r="P1891" s="103"/>
      <c r="Q1891" s="20"/>
      <c r="R1891" s="103"/>
      <c r="S1891" s="20"/>
      <c r="T1891" s="103"/>
      <c r="V1891" s="103"/>
      <c r="W1891" s="20"/>
      <c r="AC1891" s="331">
        <v>8560</v>
      </c>
      <c r="AD1891" s="331">
        <v>9590</v>
      </c>
      <c r="AE1891" s="331">
        <v>10000</v>
      </c>
      <c r="AF1891" s="331">
        <v>10440</v>
      </c>
      <c r="AG1891" s="288">
        <v>8560</v>
      </c>
      <c r="AH1891" s="288">
        <f t="shared" si="258"/>
        <v>0</v>
      </c>
      <c r="AI1891" s="288">
        <v>9590</v>
      </c>
      <c r="AJ1891" s="288">
        <f t="shared" si="259"/>
        <v>0</v>
      </c>
      <c r="AK1891" s="288">
        <v>10000</v>
      </c>
      <c r="AL1891" s="288">
        <f t="shared" si="260"/>
        <v>0</v>
      </c>
      <c r="AM1891" s="288">
        <v>10440</v>
      </c>
      <c r="AN1891" s="288">
        <f t="shared" si="261"/>
        <v>0</v>
      </c>
      <c r="AO1891" s="1"/>
      <c r="AP1891" s="1"/>
    </row>
    <row r="1892" spans="1:42" ht="35.1" customHeight="1">
      <c r="A1892" s="8"/>
      <c r="B1892" s="16">
        <v>4</v>
      </c>
      <c r="C1892" s="17"/>
      <c r="D1892" s="18">
        <f t="shared" si="250"/>
        <v>7133.3333333333339</v>
      </c>
      <c r="E1892" s="66">
        <f t="shared" si="251"/>
        <v>8560</v>
      </c>
      <c r="F1892" s="18">
        <f t="shared" si="252"/>
        <v>7991.666666666667</v>
      </c>
      <c r="G1892" s="66">
        <f t="shared" si="253"/>
        <v>9590</v>
      </c>
      <c r="H1892" s="18">
        <f t="shared" si="254"/>
        <v>8333.3333333333339</v>
      </c>
      <c r="I1892" s="66">
        <f t="shared" si="255"/>
        <v>10000</v>
      </c>
      <c r="J1892" s="18">
        <f t="shared" si="257"/>
        <v>8700</v>
      </c>
      <c r="K1892" s="66">
        <f t="shared" si="256"/>
        <v>10440</v>
      </c>
      <c r="L1892" s="103"/>
      <c r="M1892" s="20"/>
      <c r="N1892" s="103"/>
      <c r="O1892" s="20"/>
      <c r="P1892" s="103"/>
      <c r="Q1892" s="20"/>
      <c r="R1892" s="103"/>
      <c r="S1892" s="20"/>
      <c r="T1892" s="103"/>
      <c r="V1892" s="103"/>
      <c r="W1892" s="20"/>
      <c r="AC1892" s="331">
        <v>8560</v>
      </c>
      <c r="AD1892" s="331">
        <v>9590</v>
      </c>
      <c r="AE1892" s="331">
        <v>10000</v>
      </c>
      <c r="AF1892" s="331">
        <v>10440</v>
      </c>
      <c r="AG1892" s="288">
        <v>8560</v>
      </c>
      <c r="AH1892" s="288">
        <f t="shared" si="258"/>
        <v>0</v>
      </c>
      <c r="AI1892" s="288">
        <v>9590</v>
      </c>
      <c r="AJ1892" s="288">
        <f t="shared" si="259"/>
        <v>0</v>
      </c>
      <c r="AK1892" s="288">
        <v>10000</v>
      </c>
      <c r="AL1892" s="288">
        <f t="shared" si="260"/>
        <v>0</v>
      </c>
      <c r="AM1892" s="288">
        <v>10440</v>
      </c>
      <c r="AN1892" s="288">
        <f t="shared" si="261"/>
        <v>0</v>
      </c>
      <c r="AO1892" s="1"/>
      <c r="AP1892" s="1"/>
    </row>
    <row r="1893" spans="1:42" ht="35.1" customHeight="1">
      <c r="A1893" s="8"/>
      <c r="B1893" s="16">
        <v>5</v>
      </c>
      <c r="C1893" s="17"/>
      <c r="D1893" s="18">
        <f t="shared" si="250"/>
        <v>7133.3333333333339</v>
      </c>
      <c r="E1893" s="66">
        <f t="shared" si="251"/>
        <v>8560</v>
      </c>
      <c r="F1893" s="18">
        <f t="shared" si="252"/>
        <v>7991.666666666667</v>
      </c>
      <c r="G1893" s="66">
        <f t="shared" si="253"/>
        <v>9590</v>
      </c>
      <c r="H1893" s="18">
        <f t="shared" si="254"/>
        <v>8333.3333333333339</v>
      </c>
      <c r="I1893" s="66">
        <f t="shared" si="255"/>
        <v>10000</v>
      </c>
      <c r="J1893" s="18">
        <f t="shared" si="257"/>
        <v>8700</v>
      </c>
      <c r="K1893" s="66">
        <f t="shared" si="256"/>
        <v>10440</v>
      </c>
      <c r="L1893" s="103"/>
      <c r="M1893" s="20"/>
      <c r="N1893" s="103"/>
      <c r="O1893" s="20"/>
      <c r="P1893" s="103"/>
      <c r="Q1893" s="20"/>
      <c r="R1893" s="103"/>
      <c r="S1893" s="20"/>
      <c r="T1893" s="42"/>
      <c r="V1893" s="103"/>
      <c r="W1893" s="20"/>
      <c r="AC1893" s="331">
        <v>8560</v>
      </c>
      <c r="AD1893" s="331">
        <v>9590</v>
      </c>
      <c r="AE1893" s="331">
        <v>10000</v>
      </c>
      <c r="AF1893" s="331">
        <v>10440</v>
      </c>
      <c r="AG1893" s="288">
        <v>8560</v>
      </c>
      <c r="AH1893" s="288">
        <f t="shared" si="258"/>
        <v>0</v>
      </c>
      <c r="AI1893" s="288">
        <v>9590</v>
      </c>
      <c r="AJ1893" s="288">
        <f t="shared" si="259"/>
        <v>0</v>
      </c>
      <c r="AK1893" s="288">
        <v>10000</v>
      </c>
      <c r="AL1893" s="288">
        <f t="shared" si="260"/>
        <v>0</v>
      </c>
      <c r="AM1893" s="288">
        <v>10440</v>
      </c>
      <c r="AN1893" s="288">
        <f t="shared" si="261"/>
        <v>0</v>
      </c>
      <c r="AO1893" s="1"/>
      <c r="AP1893" s="1"/>
    </row>
    <row r="1894" spans="1:42" ht="35.1" customHeight="1">
      <c r="A1894" s="8"/>
      <c r="B1894" s="16">
        <v>6</v>
      </c>
      <c r="C1894" s="17"/>
      <c r="D1894" s="18">
        <f t="shared" si="250"/>
        <v>7133.3333333333339</v>
      </c>
      <c r="E1894" s="66">
        <f t="shared" si="251"/>
        <v>8560</v>
      </c>
      <c r="F1894" s="18">
        <f t="shared" si="252"/>
        <v>7991.666666666667</v>
      </c>
      <c r="G1894" s="66">
        <f t="shared" si="253"/>
        <v>9590</v>
      </c>
      <c r="H1894" s="18">
        <f t="shared" si="254"/>
        <v>8333.3333333333339</v>
      </c>
      <c r="I1894" s="66">
        <f t="shared" si="255"/>
        <v>10000</v>
      </c>
      <c r="J1894" s="18">
        <f t="shared" si="257"/>
        <v>8700</v>
      </c>
      <c r="K1894" s="66">
        <f t="shared" si="256"/>
        <v>10440</v>
      </c>
      <c r="L1894" s="103"/>
      <c r="M1894" s="20"/>
      <c r="N1894" s="103"/>
      <c r="O1894" s="20"/>
      <c r="P1894" s="103"/>
      <c r="Q1894" s="20"/>
      <c r="R1894" s="103"/>
      <c r="S1894" s="20"/>
      <c r="T1894" s="42"/>
      <c r="V1894" s="103"/>
      <c r="W1894" s="20"/>
      <c r="AC1894" s="331">
        <v>8560</v>
      </c>
      <c r="AD1894" s="331">
        <v>9590</v>
      </c>
      <c r="AE1894" s="331">
        <v>10000</v>
      </c>
      <c r="AF1894" s="331">
        <v>10440</v>
      </c>
      <c r="AG1894" s="288">
        <v>8560</v>
      </c>
      <c r="AH1894" s="288">
        <f t="shared" si="258"/>
        <v>0</v>
      </c>
      <c r="AI1894" s="288">
        <v>9590</v>
      </c>
      <c r="AJ1894" s="288">
        <f t="shared" si="259"/>
        <v>0</v>
      </c>
      <c r="AK1894" s="288">
        <v>10000</v>
      </c>
      <c r="AL1894" s="288">
        <f t="shared" si="260"/>
        <v>0</v>
      </c>
      <c r="AM1894" s="288">
        <v>10440</v>
      </c>
      <c r="AN1894" s="288">
        <f t="shared" si="261"/>
        <v>0</v>
      </c>
      <c r="AO1894" s="1"/>
      <c r="AP1894" s="1"/>
    </row>
    <row r="1895" spans="1:42" ht="34.5" customHeight="1">
      <c r="B1895" s="23">
        <v>7</v>
      </c>
      <c r="C1895" s="24"/>
      <c r="D1895" s="25">
        <f t="shared" si="250"/>
        <v>7133.3333333333339</v>
      </c>
      <c r="E1895" s="69">
        <f t="shared" si="251"/>
        <v>8560</v>
      </c>
      <c r="F1895" s="25">
        <f t="shared" si="252"/>
        <v>7991.666666666667</v>
      </c>
      <c r="G1895" s="69">
        <f t="shared" si="253"/>
        <v>9590</v>
      </c>
      <c r="H1895" s="25">
        <f t="shared" si="254"/>
        <v>8333.3333333333339</v>
      </c>
      <c r="I1895" s="69">
        <f t="shared" si="255"/>
        <v>10000</v>
      </c>
      <c r="J1895" s="25">
        <f t="shared" si="257"/>
        <v>8700</v>
      </c>
      <c r="K1895" s="69">
        <f t="shared" si="256"/>
        <v>10440</v>
      </c>
      <c r="L1895" s="8"/>
      <c r="P1895" s="8"/>
      <c r="AC1895" s="331">
        <v>8560</v>
      </c>
      <c r="AD1895" s="331">
        <v>9590</v>
      </c>
      <c r="AE1895" s="331">
        <v>10000</v>
      </c>
      <c r="AF1895" s="331">
        <v>10440</v>
      </c>
      <c r="AG1895" s="288">
        <v>8560</v>
      </c>
      <c r="AH1895" s="288">
        <f t="shared" si="258"/>
        <v>0</v>
      </c>
      <c r="AI1895" s="288">
        <v>9590</v>
      </c>
      <c r="AJ1895" s="288">
        <f t="shared" si="259"/>
        <v>0</v>
      </c>
      <c r="AK1895" s="288">
        <v>10000</v>
      </c>
      <c r="AL1895" s="288">
        <f t="shared" si="260"/>
        <v>0</v>
      </c>
      <c r="AM1895" s="288">
        <v>10440</v>
      </c>
      <c r="AN1895" s="288">
        <f t="shared" si="261"/>
        <v>0</v>
      </c>
      <c r="AO1895" s="1"/>
      <c r="AP1895" s="1"/>
    </row>
    <row r="1896" spans="1:42">
      <c r="C1896" s="244"/>
      <c r="D1896" s="26"/>
      <c r="E1896" s="57"/>
      <c r="F1896" s="10"/>
      <c r="G1896" s="10"/>
      <c r="H1896" s="10"/>
      <c r="I1896" s="8"/>
      <c r="J1896" s="8"/>
      <c r="K1896" s="8"/>
      <c r="L1896" s="8"/>
      <c r="P1896" s="8"/>
    </row>
    <row r="1897" spans="1:42" ht="12.75" customHeight="1">
      <c r="B1897" s="211" t="str">
        <f>IF($C$1="ENG","For additonal charge:","Послуги за додаткову плату:")</f>
        <v>Послуги за додаткову плату:</v>
      </c>
      <c r="C1897" s="419"/>
      <c r="D1897" s="212"/>
      <c r="E1897" s="213"/>
      <c r="F1897" s="26"/>
      <c r="G1897" s="57"/>
      <c r="H1897" s="10"/>
      <c r="I1897" s="8"/>
      <c r="J1897" s="8"/>
      <c r="K1897" s="8"/>
    </row>
    <row r="1898" spans="1:42" ht="4.5" customHeight="1">
      <c r="B1898" s="98"/>
      <c r="C1898" s="421"/>
      <c r="D1898" s="26"/>
      <c r="E1898" s="57"/>
      <c r="F1898" s="26"/>
      <c r="G1898" s="26"/>
      <c r="H1898" s="10"/>
      <c r="I1898" s="8"/>
      <c r="J1898" s="8"/>
      <c r="K1898" s="8"/>
    </row>
    <row r="1899" spans="1:42">
      <c r="B1899" s="561" t="str">
        <f>IF($C$1="ENG","glazing Triplex mat / black","скло Триплекс матовий / чорний")</f>
        <v>скло Триплекс матовий / чорний</v>
      </c>
      <c r="C1899" s="562"/>
      <c r="D1899" s="100">
        <f t="shared" ref="D1899:D1908" si="262">IF(AC1899="","",(1-$W$2)*(AC1899/1.2))</f>
        <v>1125</v>
      </c>
      <c r="E1899" s="91">
        <f t="shared" ref="E1899:E1907" si="263">IF($W$5=0.2,D1899*1.2,D1899)/$W$4</f>
        <v>1350</v>
      </c>
      <c r="F1899" s="26"/>
      <c r="G1899" s="26"/>
      <c r="I1899" s="11"/>
      <c r="J1899" s="11"/>
      <c r="K1899" s="19"/>
      <c r="AC1899" s="288">
        <v>1350</v>
      </c>
      <c r="AD1899" s="288">
        <v>1350</v>
      </c>
      <c r="AE1899" s="288">
        <f>AD1899/AC1899-1</f>
        <v>0</v>
      </c>
      <c r="AF1899" s="288"/>
      <c r="AG1899" s="288"/>
      <c r="AH1899" s="288"/>
      <c r="AI1899" s="288"/>
      <c r="AJ1899" s="288"/>
      <c r="AK1899" s="288"/>
      <c r="AL1899" s="288"/>
    </row>
    <row r="1900" spans="1:42">
      <c r="B1900" s="554" t="str">
        <f>IF($C$1="ENG","glazing Graphite / Bronze","скло Графіт / Бронза")</f>
        <v>скло Графіт / Бронза</v>
      </c>
      <c r="C1900" s="555"/>
      <c r="D1900" s="101">
        <f t="shared" si="262"/>
        <v>766.66666666666674</v>
      </c>
      <c r="E1900" s="92">
        <f t="shared" si="263"/>
        <v>920.00000000000011</v>
      </c>
      <c r="F1900" s="26"/>
      <c r="G1900" s="140"/>
      <c r="AC1900" s="288">
        <v>920</v>
      </c>
      <c r="AD1900" s="288">
        <v>920</v>
      </c>
      <c r="AE1900" s="288">
        <f t="shared" ref="AE1900:AE1907" si="264">AD1900/AC1900-1</f>
        <v>0</v>
      </c>
      <c r="AF1900" s="288"/>
      <c r="AG1900" s="288"/>
      <c r="AH1900" s="288"/>
      <c r="AI1900" s="288"/>
      <c r="AJ1900" s="288"/>
      <c r="AK1900" s="288"/>
      <c r="AL1900" s="288"/>
    </row>
    <row r="1901" spans="1:42">
      <c r="B1901" s="554" t="str">
        <f>IF($C$1="ENG","door lock Soft","замок Soft")</f>
        <v>замок Soft</v>
      </c>
      <c r="C1901" s="555"/>
      <c r="D1901" s="101">
        <f t="shared" si="262"/>
        <v>466.66666666666669</v>
      </c>
      <c r="E1901" s="92">
        <f t="shared" si="263"/>
        <v>560</v>
      </c>
      <c r="F1901" s="26"/>
      <c r="G1901" s="26"/>
      <c r="H1901" s="5"/>
      <c r="AC1901" s="288">
        <v>560</v>
      </c>
      <c r="AD1901" s="288">
        <v>560</v>
      </c>
      <c r="AE1901" s="288">
        <f t="shared" si="264"/>
        <v>0</v>
      </c>
      <c r="AF1901" s="288"/>
      <c r="AG1901" s="288"/>
      <c r="AH1901" s="288"/>
      <c r="AI1901" s="288"/>
      <c r="AJ1901" s="288"/>
      <c r="AK1901" s="288"/>
      <c r="AL1901" s="288"/>
    </row>
    <row r="1902" spans="1:42">
      <c r="B1902" s="554" t="str">
        <f>IF($C$1="ENG","door lock Soft black","замок Soft чорн.")</f>
        <v>замок Soft чорн.</v>
      </c>
      <c r="C1902" s="555"/>
      <c r="D1902" s="101">
        <f t="shared" ref="D1902" si="265">IF(AC1902="","",(1-$W$2)*(AC1902/1.2))</f>
        <v>566.66666666666674</v>
      </c>
      <c r="E1902" s="92">
        <f t="shared" ref="E1902" si="266">IF($W$5=0.2,D1902*1.2,D1902)/$W$4</f>
        <v>680.00000000000011</v>
      </c>
      <c r="F1902" s="26"/>
      <c r="G1902" s="26"/>
      <c r="H1902" s="5"/>
      <c r="AC1902" s="288">
        <v>680</v>
      </c>
      <c r="AD1902" s="288"/>
      <c r="AE1902" s="288"/>
      <c r="AF1902" s="288"/>
      <c r="AG1902" s="288"/>
      <c r="AH1902" s="288"/>
      <c r="AI1902" s="288"/>
      <c r="AJ1902" s="288"/>
      <c r="AK1902" s="288"/>
      <c r="AL1902" s="288"/>
    </row>
    <row r="1903" spans="1:42">
      <c r="B1903" s="554" t="str">
        <f>IF($C$1="ENG","door lock Magnet","замок Magnet")</f>
        <v>замок Magnet</v>
      </c>
      <c r="C1903" s="555"/>
      <c r="D1903" s="101">
        <f t="shared" si="262"/>
        <v>666.66666666666674</v>
      </c>
      <c r="E1903" s="92">
        <f t="shared" si="263"/>
        <v>800.00000000000011</v>
      </c>
      <c r="F1903" s="26"/>
      <c r="G1903" s="26"/>
      <c r="H1903" s="5"/>
      <c r="AC1903" s="288">
        <v>800</v>
      </c>
      <c r="AD1903" s="288">
        <v>800</v>
      </c>
      <c r="AE1903" s="288">
        <f t="shared" si="264"/>
        <v>0</v>
      </c>
      <c r="AF1903" s="288"/>
      <c r="AG1903" s="288"/>
      <c r="AH1903" s="288"/>
      <c r="AI1903" s="288"/>
      <c r="AJ1903" s="288"/>
      <c r="AK1903" s="288"/>
      <c r="AL1903" s="288"/>
    </row>
    <row r="1904" spans="1:42">
      <c r="B1904" s="554" t="s">
        <v>66</v>
      </c>
      <c r="C1904" s="555"/>
      <c r="D1904" s="101">
        <f t="shared" ref="D1904" si="267">IF(AC1904="","",(1-$W$2)*(AC1904/1.2))</f>
        <v>833.33333333333337</v>
      </c>
      <c r="E1904" s="92">
        <f t="shared" ref="E1904" si="268">IF($W$5=0.2,D1904*1.2,D1904)/$W$4</f>
        <v>1000</v>
      </c>
      <c r="F1904" s="26"/>
      <c r="G1904" s="26"/>
      <c r="H1904" s="5"/>
      <c r="AC1904" s="288">
        <v>1000</v>
      </c>
      <c r="AD1904" s="288"/>
      <c r="AE1904" s="288"/>
      <c r="AF1904" s="288"/>
      <c r="AG1904" s="288"/>
      <c r="AH1904" s="288"/>
      <c r="AI1904" s="288"/>
      <c r="AJ1904" s="288"/>
      <c r="AK1904" s="288"/>
      <c r="AL1904" s="288"/>
    </row>
    <row r="1905" spans="2:38">
      <c r="B1905" s="554" t="str">
        <f>IF($C$1="ENG","cylinder incert","циліндр несиметричний")</f>
        <v>циліндр несиметричний</v>
      </c>
      <c r="C1905" s="555"/>
      <c r="D1905" s="132">
        <f t="shared" si="262"/>
        <v>325</v>
      </c>
      <c r="E1905" s="66">
        <f t="shared" si="263"/>
        <v>390</v>
      </c>
      <c r="F1905" s="26"/>
      <c r="G1905" s="26"/>
      <c r="AC1905" s="288">
        <v>390</v>
      </c>
      <c r="AD1905" s="288">
        <v>390</v>
      </c>
      <c r="AE1905" s="288">
        <f t="shared" si="264"/>
        <v>0</v>
      </c>
      <c r="AF1905" s="288"/>
      <c r="AG1905" s="288"/>
      <c r="AH1905" s="288"/>
      <c r="AI1905" s="288"/>
      <c r="AJ1905" s="288"/>
      <c r="AK1905" s="288"/>
      <c r="AL1905" s="288"/>
    </row>
    <row r="1906" spans="2:38">
      <c r="B1906" s="554" t="str">
        <f>IF($C$1="ENG","door hindge Prestige (1 unit)","завіса Prestige (1 шт)")</f>
        <v>завіса Prestige (1 шт)</v>
      </c>
      <c r="C1906" s="555"/>
      <c r="D1906" s="134">
        <f t="shared" si="262"/>
        <v>216.66666666666669</v>
      </c>
      <c r="E1906" s="66">
        <f t="shared" si="263"/>
        <v>260</v>
      </c>
      <c r="F1906" s="26"/>
      <c r="G1906" s="26"/>
      <c r="AC1906" s="288">
        <v>260</v>
      </c>
      <c r="AD1906" s="288">
        <v>260</v>
      </c>
      <c r="AE1906" s="288">
        <f t="shared" si="264"/>
        <v>0</v>
      </c>
      <c r="AF1906" s="288"/>
      <c r="AG1906" s="288"/>
      <c r="AH1906" s="288"/>
      <c r="AI1906" s="288"/>
      <c r="AJ1906" s="288"/>
      <c r="AK1906" s="288"/>
      <c r="AL1906" s="288"/>
    </row>
    <row r="1907" spans="2:38">
      <c r="B1907" s="554" t="str">
        <f>IF($C$1="ENG","door hinge caps (1 set)","накладка на завіси (1 к-т)")</f>
        <v>накладка на завіси (1 к-т)</v>
      </c>
      <c r="C1907" s="555"/>
      <c r="D1907" s="134">
        <f t="shared" si="262"/>
        <v>66.666666666666671</v>
      </c>
      <c r="E1907" s="66">
        <f t="shared" si="263"/>
        <v>80</v>
      </c>
      <c r="F1907" s="26"/>
      <c r="G1907" s="26"/>
      <c r="AC1907" s="288">
        <v>80</v>
      </c>
      <c r="AD1907" s="288">
        <v>80</v>
      </c>
      <c r="AE1907" s="288">
        <f t="shared" si="264"/>
        <v>0</v>
      </c>
      <c r="AF1907" s="288"/>
      <c r="AG1907" s="288"/>
      <c r="AH1907" s="288"/>
      <c r="AI1907" s="288"/>
      <c r="AJ1907" s="288"/>
      <c r="AK1907" s="288"/>
      <c r="AL1907" s="288"/>
    </row>
    <row r="1908" spans="2:38">
      <c r="B1908" s="554" t="str">
        <f>IF($C$1="ENG","door handle","дверна ручка")</f>
        <v>дверна ручка</v>
      </c>
      <c r="C1908" s="555"/>
      <c r="D1908" s="133" t="str">
        <f t="shared" si="262"/>
        <v/>
      </c>
      <c r="E1908" s="246" t="str">
        <f>IF($C$1="ENG","see Handles Price","див. Таблицю Ручки")</f>
        <v>див. Таблицю Ручки</v>
      </c>
      <c r="F1908" s="26"/>
      <c r="G1908" s="26"/>
      <c r="AC1908" s="288"/>
      <c r="AD1908" s="288"/>
      <c r="AE1908" s="288"/>
      <c r="AF1908" s="288"/>
      <c r="AG1908" s="288"/>
      <c r="AH1908" s="288"/>
      <c r="AI1908" s="288"/>
      <c r="AJ1908" s="288"/>
      <c r="AK1908" s="288"/>
      <c r="AL1908" s="288"/>
    </row>
    <row r="1909" spans="2:38" ht="14.25" customHeight="1">
      <c r="C1909" s="244"/>
      <c r="D1909" s="26"/>
      <c r="E1909" s="26"/>
      <c r="F1909" s="26"/>
      <c r="G1909" s="26"/>
      <c r="H1909" s="5"/>
      <c r="T1909" s="536" t="str">
        <f>IF($C$1="ENG",CONCATENATE("down to: ",B1959),CONCATENATE("вниз до: ",B1959))</f>
        <v>вниз до: Полотна скляні: ГЛАСФОРД</v>
      </c>
      <c r="U1909" s="536"/>
      <c r="V1909" s="536"/>
      <c r="W1909" s="536"/>
    </row>
    <row r="1910" spans="2:38" ht="14.25" customHeight="1">
      <c r="C1910" s="244"/>
      <c r="D1910" s="26"/>
      <c r="E1910" s="26"/>
      <c r="F1910" s="26"/>
      <c r="G1910" s="26"/>
      <c r="H1910" s="5"/>
    </row>
    <row r="1911" spans="2:38" ht="14.25" customHeight="1">
      <c r="C1911" s="244"/>
      <c r="D1911" s="26"/>
      <c r="E1911" s="26"/>
      <c r="F1911" s="26"/>
      <c r="G1911" s="26"/>
      <c r="H1911" s="5"/>
    </row>
    <row r="1912" spans="2:38" ht="14.25" customHeight="1">
      <c r="C1912" s="244"/>
      <c r="D1912" s="26"/>
      <c r="E1912" s="26"/>
      <c r="F1912" s="26"/>
      <c r="G1912" s="26"/>
      <c r="H1912" s="5"/>
    </row>
    <row r="1913" spans="2:38" ht="14.25" customHeight="1">
      <c r="C1913" s="244"/>
      <c r="D1913" s="26"/>
      <c r="E1913" s="26"/>
      <c r="F1913" s="26"/>
      <c r="G1913" s="26"/>
      <c r="H1913" s="5"/>
    </row>
    <row r="1914" spans="2:38" ht="14.25" customHeight="1">
      <c r="C1914" s="244"/>
      <c r="D1914" s="26"/>
      <c r="E1914" s="26"/>
      <c r="F1914" s="26"/>
      <c r="G1914" s="26"/>
      <c r="H1914" s="5"/>
    </row>
    <row r="1915" spans="2:38" ht="14.25" customHeight="1">
      <c r="C1915" s="244"/>
      <c r="D1915" s="26"/>
      <c r="E1915" s="26"/>
      <c r="F1915" s="26"/>
      <c r="G1915" s="26"/>
      <c r="H1915" s="5"/>
    </row>
    <row r="1916" spans="2:38" ht="14.25" customHeight="1">
      <c r="C1916" s="244"/>
      <c r="D1916" s="26"/>
      <c r="E1916" s="26"/>
      <c r="F1916" s="26"/>
      <c r="G1916" s="26"/>
      <c r="H1916" s="5"/>
    </row>
    <row r="1917" spans="2:38" ht="14.25" customHeight="1">
      <c r="C1917" s="244"/>
      <c r="D1917" s="26"/>
      <c r="E1917" s="26"/>
      <c r="F1917" s="26"/>
      <c r="G1917" s="26"/>
      <c r="H1917" s="5"/>
    </row>
    <row r="1918" spans="2:38" ht="14.25" customHeight="1">
      <c r="C1918" s="244"/>
      <c r="D1918" s="26"/>
      <c r="E1918" s="26"/>
      <c r="F1918" s="26"/>
      <c r="G1918" s="26"/>
      <c r="H1918" s="5"/>
    </row>
    <row r="1919" spans="2:38" ht="14.25" customHeight="1">
      <c r="C1919" s="244"/>
      <c r="D1919" s="26"/>
      <c r="E1919" s="26"/>
      <c r="F1919" s="26"/>
      <c r="G1919" s="26"/>
      <c r="H1919" s="5"/>
    </row>
    <row r="1920" spans="2:38" ht="14.25" customHeight="1">
      <c r="C1920" s="244"/>
      <c r="D1920" s="26"/>
      <c r="E1920" s="26"/>
      <c r="F1920" s="26"/>
      <c r="G1920" s="26"/>
      <c r="H1920" s="5"/>
    </row>
    <row r="1921" spans="3:8" ht="14.25" customHeight="1">
      <c r="C1921" s="244"/>
      <c r="D1921" s="26"/>
      <c r="E1921" s="26"/>
      <c r="F1921" s="26"/>
      <c r="G1921" s="26"/>
      <c r="H1921" s="5"/>
    </row>
    <row r="1922" spans="3:8" ht="14.25" customHeight="1">
      <c r="C1922" s="244"/>
      <c r="D1922" s="26"/>
      <c r="E1922" s="26"/>
      <c r="F1922" s="26"/>
      <c r="G1922" s="26"/>
      <c r="H1922" s="5"/>
    </row>
    <row r="1923" spans="3:8" ht="14.25" customHeight="1">
      <c r="C1923" s="244"/>
      <c r="D1923" s="26"/>
      <c r="E1923" s="26"/>
      <c r="F1923" s="26"/>
      <c r="G1923" s="26"/>
      <c r="H1923" s="5"/>
    </row>
    <row r="1924" spans="3:8" ht="14.25" customHeight="1">
      <c r="C1924" s="244"/>
      <c r="D1924" s="26"/>
      <c r="E1924" s="26"/>
      <c r="F1924" s="26"/>
      <c r="G1924" s="26"/>
      <c r="H1924" s="5"/>
    </row>
    <row r="1925" spans="3:8" ht="14.25" customHeight="1">
      <c r="C1925" s="244"/>
      <c r="D1925" s="26"/>
      <c r="E1925" s="26"/>
      <c r="F1925" s="26"/>
      <c r="G1925" s="26"/>
      <c r="H1925" s="5"/>
    </row>
    <row r="1926" spans="3:8" ht="14.25" customHeight="1">
      <c r="C1926" s="244"/>
      <c r="D1926" s="26"/>
      <c r="E1926" s="26"/>
      <c r="F1926" s="26"/>
      <c r="G1926" s="26"/>
      <c r="H1926" s="5"/>
    </row>
    <row r="1927" spans="3:8" ht="14.25" customHeight="1">
      <c r="C1927" s="244"/>
      <c r="D1927" s="26"/>
      <c r="E1927" s="26"/>
      <c r="F1927" s="26"/>
      <c r="G1927" s="26"/>
      <c r="H1927" s="5"/>
    </row>
    <row r="1928" spans="3:8" ht="14.25" customHeight="1">
      <c r="C1928" s="244"/>
      <c r="D1928" s="26"/>
      <c r="E1928" s="26"/>
      <c r="F1928" s="26"/>
      <c r="G1928" s="26"/>
      <c r="H1928" s="5"/>
    </row>
    <row r="1929" spans="3:8" ht="14.25" customHeight="1">
      <c r="C1929" s="244"/>
      <c r="D1929" s="26"/>
      <c r="E1929" s="26"/>
      <c r="F1929" s="26"/>
      <c r="G1929" s="26"/>
      <c r="H1929" s="5"/>
    </row>
    <row r="1930" spans="3:8" ht="14.25" customHeight="1">
      <c r="C1930" s="244"/>
      <c r="D1930" s="26"/>
      <c r="E1930" s="26"/>
      <c r="F1930" s="26"/>
      <c r="G1930" s="26"/>
      <c r="H1930" s="5"/>
    </row>
    <row r="1931" spans="3:8" ht="14.25" customHeight="1">
      <c r="C1931" s="244"/>
      <c r="D1931" s="26"/>
      <c r="E1931" s="26"/>
      <c r="F1931" s="26"/>
      <c r="G1931" s="26"/>
      <c r="H1931" s="5"/>
    </row>
    <row r="1932" spans="3:8" ht="14.25" customHeight="1">
      <c r="C1932" s="244"/>
      <c r="D1932" s="26"/>
      <c r="E1932" s="26"/>
      <c r="F1932" s="26"/>
      <c r="G1932" s="26"/>
      <c r="H1932" s="5"/>
    </row>
    <row r="1933" spans="3:8" ht="14.25" customHeight="1">
      <c r="C1933" s="244"/>
      <c r="D1933" s="26"/>
      <c r="E1933" s="26"/>
      <c r="F1933" s="26"/>
      <c r="G1933" s="26"/>
      <c r="H1933" s="5"/>
    </row>
    <row r="1934" spans="3:8" ht="14.25" customHeight="1">
      <c r="C1934" s="244"/>
      <c r="D1934" s="26"/>
      <c r="E1934" s="26"/>
      <c r="F1934" s="26"/>
      <c r="G1934" s="26"/>
      <c r="H1934" s="5"/>
    </row>
    <row r="1935" spans="3:8" ht="14.25" customHeight="1">
      <c r="C1935" s="244"/>
      <c r="D1935" s="26"/>
      <c r="E1935" s="26"/>
      <c r="F1935" s="26"/>
      <c r="G1935" s="26"/>
      <c r="H1935" s="5"/>
    </row>
    <row r="1936" spans="3:8" ht="14.25" customHeight="1">
      <c r="C1936" s="244"/>
      <c r="D1936" s="26"/>
      <c r="E1936" s="26"/>
      <c r="F1936" s="26"/>
      <c r="G1936" s="26"/>
      <c r="H1936" s="5"/>
    </row>
    <row r="1937" spans="3:8" ht="14.25" customHeight="1">
      <c r="C1937" s="244"/>
      <c r="D1937" s="26"/>
      <c r="E1937" s="26"/>
      <c r="F1937" s="26"/>
      <c r="G1937" s="26"/>
      <c r="H1937" s="5"/>
    </row>
    <row r="1938" spans="3:8" ht="14.25" customHeight="1">
      <c r="C1938" s="244"/>
      <c r="D1938" s="26"/>
      <c r="E1938" s="26"/>
      <c r="F1938" s="26"/>
      <c r="G1938" s="26"/>
      <c r="H1938" s="5"/>
    </row>
    <row r="1939" spans="3:8" ht="14.25" customHeight="1">
      <c r="C1939" s="244"/>
      <c r="D1939" s="26"/>
      <c r="E1939" s="26"/>
      <c r="F1939" s="26"/>
      <c r="G1939" s="26"/>
      <c r="H1939" s="5"/>
    </row>
    <row r="1940" spans="3:8" ht="14.25" customHeight="1">
      <c r="C1940" s="244"/>
      <c r="D1940" s="26"/>
      <c r="E1940" s="26"/>
      <c r="F1940" s="26"/>
      <c r="G1940" s="26"/>
      <c r="H1940" s="5"/>
    </row>
    <row r="1941" spans="3:8" ht="14.25" customHeight="1">
      <c r="C1941" s="244"/>
      <c r="D1941" s="26"/>
      <c r="E1941" s="26"/>
      <c r="F1941" s="26"/>
      <c r="G1941" s="26"/>
      <c r="H1941" s="5"/>
    </row>
    <row r="1942" spans="3:8" ht="14.25" customHeight="1">
      <c r="C1942" s="244"/>
      <c r="D1942" s="26"/>
      <c r="E1942" s="26"/>
      <c r="F1942" s="26"/>
      <c r="G1942" s="26"/>
      <c r="H1942" s="5"/>
    </row>
    <row r="1943" spans="3:8" ht="14.25" customHeight="1">
      <c r="C1943" s="244"/>
      <c r="D1943" s="26"/>
      <c r="E1943" s="26"/>
      <c r="F1943" s="26"/>
      <c r="G1943" s="26"/>
      <c r="H1943" s="5"/>
    </row>
    <row r="1944" spans="3:8" ht="14.25" customHeight="1">
      <c r="C1944" s="244"/>
      <c r="D1944" s="26"/>
      <c r="E1944" s="26"/>
      <c r="F1944" s="26"/>
      <c r="G1944" s="26"/>
      <c r="H1944" s="5"/>
    </row>
    <row r="1945" spans="3:8" ht="14.25" customHeight="1">
      <c r="C1945" s="244"/>
      <c r="D1945" s="26"/>
      <c r="E1945" s="26"/>
      <c r="F1945" s="26"/>
      <c r="G1945" s="26"/>
      <c r="H1945" s="5"/>
    </row>
    <row r="1946" spans="3:8" ht="14.25" customHeight="1">
      <c r="C1946" s="244"/>
      <c r="D1946" s="26"/>
      <c r="E1946" s="26"/>
      <c r="F1946" s="26"/>
      <c r="G1946" s="26"/>
      <c r="H1946" s="5"/>
    </row>
    <row r="1947" spans="3:8" ht="14.25" customHeight="1">
      <c r="C1947" s="244"/>
      <c r="D1947" s="26"/>
      <c r="E1947" s="26"/>
      <c r="F1947" s="26"/>
      <c r="G1947" s="26"/>
      <c r="H1947" s="5"/>
    </row>
    <row r="1948" spans="3:8" ht="14.25" customHeight="1">
      <c r="C1948" s="244"/>
      <c r="D1948" s="26"/>
      <c r="E1948" s="26"/>
      <c r="F1948" s="26"/>
      <c r="G1948" s="26"/>
      <c r="H1948" s="5"/>
    </row>
    <row r="1949" spans="3:8" ht="14.25" customHeight="1">
      <c r="C1949" s="244"/>
      <c r="D1949" s="26"/>
      <c r="E1949" s="26"/>
      <c r="F1949" s="26"/>
      <c r="G1949" s="26"/>
      <c r="H1949" s="5"/>
    </row>
    <row r="1950" spans="3:8" ht="14.25" customHeight="1">
      <c r="C1950" s="244"/>
      <c r="D1950" s="26"/>
      <c r="E1950" s="26"/>
      <c r="F1950" s="26"/>
      <c r="G1950" s="26"/>
      <c r="H1950" s="5"/>
    </row>
    <row r="1951" spans="3:8" ht="14.25" customHeight="1">
      <c r="C1951" s="244"/>
      <c r="D1951" s="26"/>
      <c r="E1951" s="26"/>
      <c r="F1951" s="26"/>
      <c r="G1951" s="26"/>
      <c r="H1951" s="5"/>
    </row>
    <row r="1952" spans="3:8" ht="14.25" customHeight="1">
      <c r="C1952" s="244"/>
      <c r="D1952" s="26"/>
      <c r="E1952" s="26"/>
      <c r="F1952" s="26"/>
      <c r="G1952" s="26"/>
      <c r="H1952" s="5"/>
    </row>
    <row r="1953" spans="1:46" ht="14.25" customHeight="1">
      <c r="C1953" s="244"/>
      <c r="D1953" s="26"/>
      <c r="E1953" s="26"/>
      <c r="F1953" s="26"/>
      <c r="G1953" s="26"/>
      <c r="H1953" s="5"/>
    </row>
    <row r="1954" spans="1:46" ht="14.25" customHeight="1">
      <c r="C1954" s="244"/>
      <c r="D1954" s="26"/>
      <c r="E1954" s="26"/>
      <c r="F1954" s="26"/>
      <c r="G1954" s="26"/>
      <c r="H1954" s="5"/>
    </row>
    <row r="1955" spans="1:46" ht="14.25" customHeight="1">
      <c r="C1955" s="244"/>
      <c r="D1955" s="26"/>
      <c r="E1955" s="26"/>
      <c r="F1955" s="26"/>
      <c r="G1955" s="26"/>
      <c r="H1955" s="5"/>
    </row>
    <row r="1956" spans="1:46" ht="14.25" customHeight="1">
      <c r="C1956" s="244"/>
      <c r="D1956" s="26"/>
      <c r="E1956" s="26"/>
      <c r="F1956" s="26"/>
      <c r="G1956" s="26"/>
      <c r="H1956" s="5"/>
    </row>
    <row r="1957" spans="1:46" ht="14.25" customHeight="1">
      <c r="C1957" s="244"/>
      <c r="D1957" s="26"/>
      <c r="E1957" s="26"/>
      <c r="F1957" s="26"/>
      <c r="G1957" s="26"/>
      <c r="H1957" s="5"/>
    </row>
    <row r="1958" spans="1:46" ht="14.25" customHeight="1">
      <c r="C1958" s="244"/>
      <c r="D1958" s="26"/>
      <c r="E1958" s="26"/>
      <c r="F1958" s="26"/>
      <c r="G1958" s="26"/>
      <c r="H1958" s="5"/>
    </row>
    <row r="1959" spans="1:46" s="8" customFormat="1">
      <c r="B1959" s="550" t="str">
        <f>TITLE!$C$32</f>
        <v>Полотна скляні: ГЛАСФОРД</v>
      </c>
      <c r="C1959" s="550"/>
      <c r="D1959" s="117"/>
      <c r="E1959" s="117"/>
      <c r="F1959" s="117"/>
      <c r="G1959" s="117"/>
      <c r="H1959" s="117"/>
      <c r="I1959" s="120"/>
      <c r="J1959" s="120"/>
      <c r="K1959" s="120"/>
      <c r="L1959" s="120"/>
      <c r="M1959" s="120"/>
      <c r="N1959" s="120"/>
      <c r="O1959" s="120"/>
      <c r="P1959" s="120"/>
      <c r="Q1959" s="120"/>
      <c r="R1959" s="120"/>
      <c r="S1959" s="120"/>
      <c r="T1959" s="544" t="str">
        <f>IF($C$1="ENG",CONCATENATE("up to: ",B1884),CONCATENATE("вгору до: ",B1884))</f>
        <v>вгору до: Полотна скляні: ЕЛЕГАНТ</v>
      </c>
      <c r="U1959" s="544"/>
      <c r="V1959" s="544"/>
      <c r="W1959" s="544"/>
      <c r="AE1959" s="288">
        <f>AD1959/100*12+AD1959</f>
        <v>0</v>
      </c>
      <c r="AF1959" s="288" t="e">
        <f>AE1959/AD1959-1</f>
        <v>#DIV/0!</v>
      </c>
      <c r="AN1959" s="279"/>
      <c r="AO1959" s="279"/>
      <c r="AP1959" s="279"/>
      <c r="AQ1959" s="279"/>
      <c r="AR1959" s="279"/>
      <c r="AS1959" s="279"/>
      <c r="AT1959" s="279"/>
    </row>
    <row r="1960" spans="1:46" s="8" customFormat="1" ht="5.0999999999999996" customHeight="1">
      <c r="C1960" s="422"/>
      <c r="T1960" s="114"/>
      <c r="U1960" s="114"/>
      <c r="V1960" s="114"/>
      <c r="W1960" s="114"/>
      <c r="AN1960" s="279"/>
      <c r="AO1960" s="279"/>
      <c r="AP1960" s="279"/>
      <c r="AQ1960" s="279"/>
      <c r="AR1960" s="279"/>
      <c r="AS1960" s="279"/>
      <c r="AT1960" s="279"/>
    </row>
    <row r="1961" spans="1:46" ht="12.75" customHeight="1">
      <c r="A1961" s="8"/>
      <c r="B1961" s="556" t="str">
        <f>IF($C$1="ENG","model","модель")</f>
        <v>модель</v>
      </c>
      <c r="C1961" s="121" t="str">
        <f>IF($C$1="ENG","cover:","покриття:")</f>
        <v>покриття:</v>
      </c>
      <c r="D1961" s="538" t="str">
        <f>IF($C$1="ENG","GLASS","СКЛО")</f>
        <v>СКЛО</v>
      </c>
      <c r="E1961" s="539"/>
      <c r="F1961" s="10"/>
      <c r="G1961" s="10"/>
      <c r="H1961" s="10"/>
      <c r="I1961" s="8"/>
      <c r="J1961" s="8"/>
      <c r="K1961" s="8"/>
      <c r="L1961" s="8"/>
      <c r="M1961" s="11"/>
      <c r="P1961" s="8"/>
      <c r="Q1961" s="11"/>
    </row>
    <row r="1962" spans="1:46" ht="12.75" customHeight="1">
      <c r="A1962" s="8"/>
      <c r="B1962" s="557"/>
      <c r="C1962" s="122" t="str">
        <f>IF($C$1="ENG","filling:","заповнення:")</f>
        <v>заповнення:</v>
      </c>
      <c r="D1962" s="540" t="str">
        <f>IF($C$1="ENG","tempered glass","гартоване скло")</f>
        <v>гартоване скло</v>
      </c>
      <c r="E1962" s="541"/>
      <c r="F1962" s="10"/>
      <c r="G1962" s="10"/>
      <c r="H1962" s="10"/>
      <c r="I1962" s="8"/>
      <c r="J1962" s="8"/>
      <c r="K1962" s="8"/>
      <c r="L1962" s="8"/>
      <c r="M1962" s="11"/>
      <c r="P1962" s="8"/>
      <c r="Q1962" s="11"/>
    </row>
    <row r="1963" spans="1:46">
      <c r="A1963" s="8"/>
      <c r="B1963" s="558"/>
      <c r="C1963" s="123" t="str">
        <f>IF($C$1="ENG","glazing:","скління:")</f>
        <v>скління:</v>
      </c>
      <c r="D1963" s="542" t="str">
        <f>IF($C$1="ENG","Drawing / Satin (1)","Малюнок / Сатин (1)")</f>
        <v>Малюнок / Сатин (1)</v>
      </c>
      <c r="E1963" s="543"/>
      <c r="F1963" s="10"/>
      <c r="G1963" s="10"/>
      <c r="H1963" s="10"/>
      <c r="I1963" s="8"/>
      <c r="J1963" s="8"/>
      <c r="K1963" s="8"/>
      <c r="L1963" s="40"/>
      <c r="M1963" s="41"/>
      <c r="N1963" s="19"/>
      <c r="O1963" s="19"/>
      <c r="P1963" s="40"/>
      <c r="Q1963" s="41"/>
      <c r="R1963" s="19"/>
      <c r="S1963" s="19"/>
      <c r="T1963" s="42"/>
      <c r="U1963" s="30"/>
      <c r="W1963" s="20"/>
      <c r="X1963" s="22"/>
      <c r="Y1963" s="22"/>
      <c r="Z1963" s="22"/>
      <c r="AA1963" s="22"/>
      <c r="AB1963" s="22"/>
    </row>
    <row r="1964" spans="1:46" ht="35.1" customHeight="1">
      <c r="A1964" s="8"/>
      <c r="B1964" s="13">
        <v>1</v>
      </c>
      <c r="C1964" s="14"/>
      <c r="D1964" s="15">
        <f>IF(AC1964="","",(1-$W$2)*(AC1964/1.2))</f>
        <v>13750</v>
      </c>
      <c r="E1964" s="64">
        <f>IF($W$5=0.2,D1964*1.2,D1964)/$W$4</f>
        <v>16500</v>
      </c>
      <c r="F1964" s="10"/>
      <c r="G1964" s="10"/>
      <c r="H1964" s="10"/>
      <c r="I1964" s="45"/>
      <c r="J1964" s="8"/>
      <c r="K1964" s="43"/>
      <c r="L1964" s="8"/>
      <c r="M1964" s="44"/>
      <c r="N1964" s="19"/>
      <c r="O1964" s="11"/>
      <c r="P1964" s="8"/>
      <c r="Q1964" s="44"/>
      <c r="R1964" s="19"/>
      <c r="S1964" s="11"/>
      <c r="T1964" s="42"/>
      <c r="U1964" s="30"/>
      <c r="W1964" s="20"/>
      <c r="AC1964" s="331">
        <v>16500</v>
      </c>
      <c r="AD1964" s="288">
        <v>16500</v>
      </c>
      <c r="AE1964" s="288">
        <f>AD1964/AC1964-1</f>
        <v>0</v>
      </c>
      <c r="AF1964" s="288"/>
      <c r="AG1964" s="288"/>
      <c r="AH1964" s="288"/>
      <c r="AI1964" s="288"/>
      <c r="AJ1964" s="288"/>
      <c r="AK1964" s="288"/>
      <c r="AL1964" s="288"/>
    </row>
    <row r="1965" spans="1:46" ht="35.1" customHeight="1">
      <c r="A1965" s="8"/>
      <c r="B1965" s="16">
        <v>2</v>
      </c>
      <c r="C1965" s="17"/>
      <c r="D1965" s="18">
        <f>IF(AC1965="","",(1-$W$2)*(AC1965/1.2))</f>
        <v>14375</v>
      </c>
      <c r="E1965" s="66">
        <f>IF($W$5=0.2,D1965*1.2,D1965)/$W$4</f>
        <v>17250</v>
      </c>
      <c r="F1965" s="10"/>
      <c r="G1965" s="10"/>
      <c r="H1965" s="10"/>
      <c r="I1965" s="45"/>
      <c r="J1965" s="8"/>
      <c r="K1965" s="43"/>
      <c r="L1965" s="8"/>
      <c r="M1965" s="41"/>
      <c r="N1965" s="19"/>
      <c r="O1965" s="11"/>
      <c r="P1965" s="8"/>
      <c r="Q1965" s="41"/>
      <c r="R1965" s="19"/>
      <c r="S1965" s="11"/>
      <c r="T1965" s="42"/>
      <c r="U1965" s="30"/>
      <c r="W1965" s="20"/>
      <c r="AC1965" s="331">
        <v>17250</v>
      </c>
      <c r="AD1965" s="288">
        <v>17250</v>
      </c>
      <c r="AE1965" s="288">
        <f t="shared" ref="AE1965:AE1968" si="269">AD1965/AC1965-1</f>
        <v>0</v>
      </c>
      <c r="AF1965" s="288"/>
      <c r="AG1965" s="288"/>
      <c r="AH1965" s="288"/>
      <c r="AI1965" s="288"/>
      <c r="AJ1965" s="288"/>
      <c r="AK1965" s="288"/>
      <c r="AL1965" s="288"/>
    </row>
    <row r="1966" spans="1:46" ht="35.1" customHeight="1">
      <c r="A1966" s="8"/>
      <c r="B1966" s="16">
        <v>3</v>
      </c>
      <c r="C1966" s="17"/>
      <c r="D1966" s="18">
        <f>IF(AC1966="","",(1-$W$2)*(AC1966/1.2))</f>
        <v>14375</v>
      </c>
      <c r="E1966" s="66">
        <f>IF($W$5=0.2,D1966*1.2,D1966)/$W$4</f>
        <v>17250</v>
      </c>
      <c r="F1966" s="10"/>
      <c r="G1966" s="10"/>
      <c r="H1966" s="10"/>
      <c r="I1966" s="45"/>
      <c r="J1966" s="8"/>
      <c r="K1966" s="8"/>
      <c r="L1966" s="8"/>
      <c r="M1966" s="41"/>
      <c r="N1966" s="19"/>
      <c r="O1966" s="11"/>
      <c r="P1966" s="8"/>
      <c r="Q1966" s="41"/>
      <c r="R1966" s="19"/>
      <c r="S1966" s="11"/>
      <c r="T1966" s="42"/>
      <c r="U1966" s="30"/>
      <c r="W1966" s="20"/>
      <c r="AC1966" s="331">
        <v>17250</v>
      </c>
      <c r="AD1966" s="288">
        <v>17250</v>
      </c>
      <c r="AE1966" s="288">
        <f t="shared" si="269"/>
        <v>0</v>
      </c>
      <c r="AF1966" s="288"/>
      <c r="AG1966" s="288"/>
      <c r="AH1966" s="288"/>
      <c r="AI1966" s="288"/>
      <c r="AJ1966" s="288"/>
      <c r="AK1966" s="288"/>
      <c r="AL1966" s="288"/>
    </row>
    <row r="1967" spans="1:46" ht="35.1" customHeight="1">
      <c r="A1967" s="8"/>
      <c r="B1967" s="16">
        <v>4</v>
      </c>
      <c r="C1967" s="17"/>
      <c r="D1967" s="18">
        <f>IF(AC1967="","",(1-$W$2)*(AC1967/1.2))</f>
        <v>14375</v>
      </c>
      <c r="E1967" s="66">
        <f>IF($W$5=0.2,D1967*1.2,D1967)/$W$4</f>
        <v>17250</v>
      </c>
      <c r="F1967" s="10"/>
      <c r="G1967" s="10"/>
      <c r="H1967" s="10"/>
      <c r="I1967" s="45"/>
      <c r="J1967" s="8"/>
      <c r="K1967" s="8"/>
      <c r="L1967" s="8"/>
      <c r="M1967" s="41"/>
      <c r="N1967" s="19"/>
      <c r="O1967" s="11"/>
      <c r="P1967" s="8"/>
      <c r="Q1967" s="41"/>
      <c r="R1967" s="19"/>
      <c r="S1967" s="11"/>
      <c r="T1967" s="42"/>
      <c r="U1967" s="30"/>
      <c r="W1967" s="20"/>
      <c r="AC1967" s="331">
        <v>17250</v>
      </c>
      <c r="AD1967" s="288">
        <v>17250</v>
      </c>
      <c r="AE1967" s="288">
        <f t="shared" si="269"/>
        <v>0</v>
      </c>
      <c r="AF1967" s="288"/>
      <c r="AG1967" s="288"/>
      <c r="AH1967" s="288"/>
      <c r="AI1967" s="288"/>
      <c r="AJ1967" s="288"/>
      <c r="AK1967" s="288"/>
      <c r="AL1967" s="288"/>
    </row>
    <row r="1968" spans="1:46" ht="34.5" customHeight="1">
      <c r="B1968" s="23">
        <v>5</v>
      </c>
      <c r="C1968" s="24"/>
      <c r="D1968" s="25">
        <f>IF(AC1968="","",(1-$W$2)*(AC1968/1.2))</f>
        <v>14375</v>
      </c>
      <c r="E1968" s="69">
        <f>IF($W$5=0.2,D1968*1.2,D1968)/$W$4</f>
        <v>17250</v>
      </c>
      <c r="F1968" s="10"/>
      <c r="G1968" s="10"/>
      <c r="H1968" s="10"/>
      <c r="I1968" s="45"/>
      <c r="J1968" s="8"/>
      <c r="K1968" s="8"/>
      <c r="L1968" s="8"/>
      <c r="P1968" s="8"/>
      <c r="AC1968" s="331">
        <v>17250</v>
      </c>
      <c r="AD1968" s="288">
        <v>17250</v>
      </c>
      <c r="AE1968" s="288">
        <f t="shared" si="269"/>
        <v>0</v>
      </c>
      <c r="AF1968" s="288"/>
      <c r="AG1968" s="288"/>
      <c r="AH1968" s="288"/>
      <c r="AI1968" s="288"/>
      <c r="AJ1968" s="288"/>
      <c r="AK1968" s="288"/>
      <c r="AL1968" s="288"/>
    </row>
    <row r="1969" spans="2:38">
      <c r="C1969" s="244"/>
      <c r="D1969" s="26"/>
      <c r="E1969" s="57"/>
      <c r="F1969" s="10"/>
      <c r="G1969" s="10"/>
      <c r="H1969" s="10"/>
      <c r="I1969" s="8"/>
      <c r="J1969" s="8"/>
      <c r="K1969" s="8"/>
      <c r="L1969" s="8"/>
      <c r="P1969" s="8"/>
    </row>
    <row r="1970" spans="2:38" ht="12.75" customHeight="1">
      <c r="B1970" s="211" t="str">
        <f>IF($C$1="ENG","For additonal charge:","Послуги за додаткову плату:")</f>
        <v>Послуги за додаткову плату:</v>
      </c>
      <c r="C1970" s="419"/>
      <c r="D1970" s="212"/>
      <c r="E1970" s="213"/>
      <c r="F1970" s="39"/>
      <c r="G1970" s="39"/>
      <c r="H1970" s="10"/>
      <c r="I1970" s="8"/>
      <c r="J1970" s="8"/>
      <c r="K1970" s="8"/>
    </row>
    <row r="1971" spans="2:38" ht="4.5" customHeight="1">
      <c r="B1971" s="27"/>
      <c r="C1971" s="244"/>
      <c r="D1971" s="26"/>
      <c r="E1971" s="57"/>
      <c r="F1971" s="26"/>
      <c r="G1971" s="26"/>
      <c r="H1971" s="10"/>
      <c r="I1971" s="8"/>
      <c r="J1971" s="8"/>
      <c r="K1971" s="8"/>
    </row>
    <row r="1972" spans="2:38">
      <c r="B1972" s="561" t="str">
        <f>IF($C$1="ENG","door leaf with width 100","полотно розміром 100")</f>
        <v>полотно розміром 100</v>
      </c>
      <c r="C1972" s="562"/>
      <c r="D1972" s="100">
        <f t="shared" ref="D1972:D1977" si="270">IF(AC1972="","",(1-$W$2)*(AC1972/1.2))</f>
        <v>2750</v>
      </c>
      <c r="E1972" s="64">
        <f t="shared" ref="E1972:E1977" si="271">IF($W$5=0.2,D1972*1.2,D1972)/$W$4</f>
        <v>3300</v>
      </c>
      <c r="F1972" s="26"/>
      <c r="G1972" s="26"/>
      <c r="H1972" s="10"/>
      <c r="I1972" s="8"/>
      <c r="J1972" s="8"/>
      <c r="K1972" s="8"/>
      <c r="AC1972" s="297">
        <v>3300</v>
      </c>
      <c r="AD1972" s="288">
        <v>3300</v>
      </c>
      <c r="AE1972" s="288">
        <f>AD1972/AC1972-1</f>
        <v>0</v>
      </c>
      <c r="AF1972" s="288"/>
      <c r="AG1972" s="288"/>
      <c r="AH1972" s="288"/>
      <c r="AI1972" s="288"/>
      <c r="AJ1972" s="288"/>
      <c r="AK1972" s="288"/>
      <c r="AL1972" s="288"/>
    </row>
    <row r="1973" spans="2:38">
      <c r="B1973" s="554" t="str">
        <f>IF($C$1="ENG","glazing Triplex mat / black","скло Триплекс матовий / чорний")</f>
        <v>скло Триплекс матовий / чорний</v>
      </c>
      <c r="C1973" s="555"/>
      <c r="D1973" s="101">
        <f t="shared" si="270"/>
        <v>1725</v>
      </c>
      <c r="E1973" s="66">
        <f t="shared" si="271"/>
        <v>2070</v>
      </c>
      <c r="F1973" s="26"/>
      <c r="G1973" s="26"/>
      <c r="I1973" s="11"/>
      <c r="J1973" s="11"/>
      <c r="K1973" s="19"/>
      <c r="AC1973" s="297">
        <v>2070</v>
      </c>
      <c r="AD1973" s="288">
        <v>2070</v>
      </c>
      <c r="AE1973" s="288">
        <f>AD1973/AC1973-1</f>
        <v>0</v>
      </c>
      <c r="AF1973" s="288"/>
      <c r="AG1973" s="288"/>
      <c r="AH1973" s="288"/>
      <c r="AI1973" s="288"/>
      <c r="AJ1973" s="288"/>
      <c r="AK1973" s="288"/>
      <c r="AL1973" s="288"/>
    </row>
    <row r="1974" spans="2:38">
      <c r="B1974" s="554" t="str">
        <f>IF($C$1="ENG","glazing Graphite / Bronze","скло Графіт / Бронза")</f>
        <v>скло Графіт / Бронза</v>
      </c>
      <c r="C1974" s="555"/>
      <c r="D1974" s="101">
        <f t="shared" si="270"/>
        <v>1375</v>
      </c>
      <c r="E1974" s="66">
        <f t="shared" si="271"/>
        <v>1650</v>
      </c>
      <c r="F1974" s="26"/>
      <c r="G1974" s="26"/>
      <c r="AC1974" s="297">
        <v>1650</v>
      </c>
      <c r="AD1974" s="288">
        <v>1650</v>
      </c>
      <c r="AE1974" s="288">
        <f t="shared" ref="AE1974:AE1977" si="272">AD1974/AC1974-1</f>
        <v>0</v>
      </c>
      <c r="AF1974" s="288"/>
      <c r="AG1974" s="288"/>
      <c r="AH1974" s="288"/>
      <c r="AI1974" s="288"/>
      <c r="AJ1974" s="288"/>
      <c r="AK1974" s="288"/>
      <c r="AL1974" s="288"/>
    </row>
    <row r="1975" spans="2:38">
      <c r="B1975" s="554" t="str">
        <f>IF($C$1="ENG","glazing Mirror","скло Дзеркало")</f>
        <v>скло Дзеркало</v>
      </c>
      <c r="C1975" s="555"/>
      <c r="D1975" s="101">
        <f t="shared" si="270"/>
        <v>4500</v>
      </c>
      <c r="E1975" s="66">
        <f t="shared" si="271"/>
        <v>5400</v>
      </c>
      <c r="F1975" s="26"/>
      <c r="G1975" s="26"/>
      <c r="AC1975" s="297">
        <v>5400</v>
      </c>
      <c r="AD1975" s="288">
        <v>5400</v>
      </c>
      <c r="AE1975" s="288">
        <f t="shared" si="272"/>
        <v>0</v>
      </c>
      <c r="AF1975" s="288"/>
      <c r="AG1975" s="288"/>
      <c r="AH1975" s="288"/>
      <c r="AI1975" s="288"/>
      <c r="AJ1975" s="288"/>
      <c r="AK1975" s="288"/>
      <c r="AL1975" s="288"/>
    </row>
    <row r="1976" spans="2:38">
      <c r="B1976" s="554" t="str">
        <f>IF($C$1="ENG","door lock Glass regular key / cylinder","замок Glass під ключ / циліндр")</f>
        <v>замок Glass під ключ / циліндр</v>
      </c>
      <c r="C1976" s="555"/>
      <c r="D1976" s="18">
        <f t="shared" si="270"/>
        <v>1033.3333333333335</v>
      </c>
      <c r="E1976" s="66">
        <f t="shared" si="271"/>
        <v>1240.0000000000002</v>
      </c>
      <c r="F1976" s="26"/>
      <c r="G1976" s="26"/>
      <c r="AC1976" s="297">
        <v>1240</v>
      </c>
      <c r="AD1976" s="288">
        <v>1240</v>
      </c>
      <c r="AE1976" s="288">
        <f t="shared" si="272"/>
        <v>0</v>
      </c>
      <c r="AF1976" s="288"/>
      <c r="AG1976" s="288"/>
      <c r="AH1976" s="288"/>
      <c r="AI1976" s="288"/>
      <c r="AJ1976" s="288"/>
      <c r="AK1976" s="288"/>
      <c r="AL1976" s="288"/>
    </row>
    <row r="1977" spans="2:38" ht="14.25" customHeight="1">
      <c r="B1977" s="554" t="str">
        <f>IF($C$1="ENG","door lock Glass bathroom lock","замок Glass сантехнічний")</f>
        <v>замок Glass сантехнічний</v>
      </c>
      <c r="C1977" s="555"/>
      <c r="D1977" s="25">
        <f t="shared" si="270"/>
        <v>2450</v>
      </c>
      <c r="E1977" s="69">
        <f t="shared" si="271"/>
        <v>2940</v>
      </c>
      <c r="F1977" s="140"/>
      <c r="G1977" s="26"/>
      <c r="T1977" s="536" t="str">
        <f>IF($C$1="ENG",CONCATENATE("down to: ",B2027),CONCATENATE("вниз до: ",B2027))</f>
        <v>вниз до: Полотна: ДОБОР LADA</v>
      </c>
      <c r="U1977" s="536"/>
      <c r="V1977" s="536"/>
      <c r="W1977" s="536"/>
      <c r="AC1977" s="297">
        <v>2940</v>
      </c>
      <c r="AD1977" s="288">
        <v>2940</v>
      </c>
      <c r="AE1977" s="288">
        <f t="shared" si="272"/>
        <v>0</v>
      </c>
      <c r="AF1977" s="288"/>
      <c r="AG1977" s="288"/>
      <c r="AH1977" s="288"/>
      <c r="AI1977" s="288"/>
      <c r="AJ1977" s="288"/>
      <c r="AK1977" s="288"/>
      <c r="AL1977" s="288"/>
    </row>
    <row r="1978" spans="2:38" ht="14.25" customHeight="1">
      <c r="C1978" s="244"/>
      <c r="D1978" s="26"/>
      <c r="E1978" s="26"/>
      <c r="F1978" s="26"/>
      <c r="G1978" s="26"/>
      <c r="H1978" s="5"/>
    </row>
    <row r="1979" spans="2:38" ht="14.25" customHeight="1">
      <c r="C1979" s="244"/>
      <c r="D1979" s="26"/>
      <c r="E1979" s="26"/>
      <c r="F1979" s="26"/>
      <c r="G1979" s="26"/>
      <c r="H1979" s="5"/>
    </row>
    <row r="1980" spans="2:38" ht="14.25" customHeight="1">
      <c r="C1980" s="244"/>
      <c r="D1980" s="26"/>
      <c r="E1980" s="26"/>
      <c r="F1980" s="26"/>
      <c r="G1980" s="26"/>
      <c r="H1980" s="5"/>
    </row>
    <row r="1981" spans="2:38" ht="14.25" customHeight="1">
      <c r="C1981" s="244"/>
      <c r="D1981" s="26"/>
      <c r="E1981" s="26"/>
      <c r="F1981" s="26"/>
      <c r="G1981" s="26"/>
      <c r="H1981" s="5"/>
    </row>
    <row r="1982" spans="2:38" ht="14.25" customHeight="1">
      <c r="C1982" s="244"/>
      <c r="D1982" s="26"/>
      <c r="E1982" s="26"/>
      <c r="F1982" s="26"/>
      <c r="G1982" s="26"/>
      <c r="H1982" s="5"/>
    </row>
    <row r="1983" spans="2:38" ht="14.25" customHeight="1">
      <c r="C1983" s="244"/>
      <c r="D1983" s="26"/>
      <c r="E1983" s="26"/>
      <c r="F1983" s="26"/>
      <c r="G1983" s="26"/>
      <c r="H1983" s="5"/>
    </row>
    <row r="1984" spans="2:38" ht="14.25" customHeight="1">
      <c r="C1984" s="244"/>
      <c r="D1984" s="26"/>
      <c r="E1984" s="26"/>
      <c r="F1984" s="26"/>
      <c r="G1984" s="26"/>
      <c r="H1984" s="5"/>
    </row>
    <row r="1985" spans="3:8" ht="14.25" customHeight="1">
      <c r="C1985" s="244"/>
      <c r="D1985" s="26"/>
      <c r="E1985" s="26"/>
      <c r="F1985" s="26"/>
      <c r="G1985" s="26"/>
      <c r="H1985" s="5"/>
    </row>
    <row r="1986" spans="3:8" ht="14.25" customHeight="1">
      <c r="C1986" s="244"/>
      <c r="D1986" s="26"/>
      <c r="E1986" s="26"/>
      <c r="F1986" s="26"/>
      <c r="G1986" s="26"/>
      <c r="H1986" s="5"/>
    </row>
    <row r="1987" spans="3:8" ht="14.25" customHeight="1">
      <c r="C1987" s="244"/>
      <c r="D1987" s="26"/>
      <c r="E1987" s="26"/>
      <c r="F1987" s="26"/>
      <c r="G1987" s="26"/>
      <c r="H1987" s="5"/>
    </row>
    <row r="1988" spans="3:8" ht="14.25" customHeight="1">
      <c r="C1988" s="244"/>
      <c r="D1988" s="26"/>
      <c r="E1988" s="26"/>
      <c r="F1988" s="26"/>
      <c r="G1988" s="26"/>
      <c r="H1988" s="5"/>
    </row>
    <row r="1989" spans="3:8" ht="14.25" customHeight="1">
      <c r="C1989" s="244"/>
      <c r="D1989" s="26"/>
      <c r="E1989" s="26"/>
      <c r="F1989" s="26"/>
      <c r="G1989" s="26"/>
      <c r="H1989" s="5"/>
    </row>
    <row r="1990" spans="3:8" ht="14.25" customHeight="1">
      <c r="C1990" s="244"/>
      <c r="D1990" s="26"/>
      <c r="E1990" s="26"/>
      <c r="F1990" s="26"/>
      <c r="G1990" s="26"/>
      <c r="H1990" s="5"/>
    </row>
    <row r="1991" spans="3:8" ht="14.25" customHeight="1">
      <c r="C1991" s="244"/>
      <c r="D1991" s="26"/>
      <c r="E1991" s="26"/>
      <c r="F1991" s="26"/>
      <c r="G1991" s="26"/>
      <c r="H1991" s="5"/>
    </row>
    <row r="1992" spans="3:8" ht="14.25" customHeight="1">
      <c r="C1992" s="244"/>
      <c r="D1992" s="26"/>
      <c r="E1992" s="26"/>
      <c r="F1992" s="26"/>
      <c r="G1992" s="26"/>
      <c r="H1992" s="5"/>
    </row>
    <row r="1993" spans="3:8" ht="14.25" customHeight="1">
      <c r="C1993" s="244"/>
      <c r="D1993" s="26"/>
      <c r="E1993" s="26"/>
      <c r="F1993" s="26"/>
      <c r="G1993" s="26"/>
      <c r="H1993" s="5"/>
    </row>
    <row r="1994" spans="3:8" ht="14.25" customHeight="1">
      <c r="C1994" s="244"/>
      <c r="D1994" s="26"/>
      <c r="E1994" s="26"/>
      <c r="F1994" s="26"/>
      <c r="G1994" s="26"/>
      <c r="H1994" s="5"/>
    </row>
    <row r="1995" spans="3:8" ht="14.25" customHeight="1">
      <c r="C1995" s="244"/>
      <c r="D1995" s="26"/>
      <c r="E1995" s="26"/>
      <c r="F1995" s="26"/>
      <c r="G1995" s="26"/>
      <c r="H1995" s="5"/>
    </row>
    <row r="1996" spans="3:8" ht="14.25" customHeight="1">
      <c r="C1996" s="244"/>
      <c r="D1996" s="26"/>
      <c r="E1996" s="26"/>
      <c r="F1996" s="26"/>
      <c r="G1996" s="26"/>
      <c r="H1996" s="5"/>
    </row>
    <row r="1997" spans="3:8" ht="14.25" customHeight="1">
      <c r="C1997" s="244"/>
      <c r="D1997" s="26"/>
      <c r="E1997" s="26"/>
      <c r="F1997" s="26"/>
      <c r="G1997" s="26"/>
      <c r="H1997" s="5"/>
    </row>
    <row r="1998" spans="3:8" ht="14.25" customHeight="1">
      <c r="C1998" s="244"/>
      <c r="D1998" s="26"/>
      <c r="E1998" s="26"/>
      <c r="F1998" s="26"/>
      <c r="G1998" s="26"/>
      <c r="H1998" s="5"/>
    </row>
    <row r="1999" spans="3:8" ht="14.25" customHeight="1">
      <c r="C1999" s="244"/>
      <c r="D1999" s="26"/>
      <c r="E1999" s="26"/>
      <c r="F1999" s="26"/>
      <c r="G1999" s="26"/>
      <c r="H1999" s="5"/>
    </row>
    <row r="2000" spans="3:8" ht="14.25" customHeight="1">
      <c r="C2000" s="244"/>
      <c r="D2000" s="26"/>
      <c r="E2000" s="26"/>
      <c r="F2000" s="26"/>
      <c r="G2000" s="26"/>
      <c r="H2000" s="5"/>
    </row>
    <row r="2001" spans="3:8" ht="14.25" customHeight="1">
      <c r="C2001" s="244"/>
      <c r="D2001" s="26"/>
      <c r="E2001" s="26"/>
      <c r="F2001" s="26"/>
      <c r="G2001" s="26"/>
      <c r="H2001" s="5"/>
    </row>
    <row r="2002" spans="3:8" ht="14.25" customHeight="1">
      <c r="C2002" s="244"/>
      <c r="D2002" s="26"/>
      <c r="E2002" s="26"/>
      <c r="F2002" s="26"/>
      <c r="G2002" s="26"/>
      <c r="H2002" s="5"/>
    </row>
    <row r="2003" spans="3:8" ht="14.25" customHeight="1">
      <c r="C2003" s="244"/>
      <c r="D2003" s="26"/>
      <c r="E2003" s="26"/>
      <c r="F2003" s="26"/>
      <c r="G2003" s="26"/>
      <c r="H2003" s="5"/>
    </row>
    <row r="2004" spans="3:8" ht="14.25" customHeight="1">
      <c r="C2004" s="244"/>
      <c r="D2004" s="26"/>
      <c r="E2004" s="26"/>
      <c r="F2004" s="26"/>
      <c r="G2004" s="26"/>
      <c r="H2004" s="5"/>
    </row>
    <row r="2005" spans="3:8" ht="14.25" customHeight="1">
      <c r="C2005" s="244"/>
      <c r="D2005" s="26"/>
      <c r="E2005" s="26"/>
      <c r="F2005" s="26"/>
      <c r="G2005" s="26"/>
      <c r="H2005" s="5"/>
    </row>
    <row r="2006" spans="3:8" ht="14.25" customHeight="1">
      <c r="C2006" s="244"/>
      <c r="D2006" s="26"/>
      <c r="E2006" s="26"/>
      <c r="F2006" s="26"/>
      <c r="G2006" s="26"/>
      <c r="H2006" s="5"/>
    </row>
    <row r="2007" spans="3:8" ht="14.25" customHeight="1">
      <c r="C2007" s="244"/>
      <c r="D2007" s="26"/>
      <c r="E2007" s="26"/>
      <c r="F2007" s="26"/>
      <c r="G2007" s="26"/>
      <c r="H2007" s="5"/>
    </row>
    <row r="2008" spans="3:8" ht="14.25" customHeight="1">
      <c r="C2008" s="244"/>
      <c r="D2008" s="26"/>
      <c r="E2008" s="26"/>
      <c r="F2008" s="26"/>
      <c r="G2008" s="26"/>
      <c r="H2008" s="5"/>
    </row>
    <row r="2009" spans="3:8" ht="14.25" customHeight="1">
      <c r="C2009" s="244"/>
      <c r="D2009" s="26"/>
      <c r="E2009" s="26"/>
      <c r="F2009" s="26"/>
      <c r="G2009" s="26"/>
      <c r="H2009" s="5"/>
    </row>
    <row r="2010" spans="3:8" ht="14.25" customHeight="1">
      <c r="C2010" s="244"/>
      <c r="D2010" s="26"/>
      <c r="E2010" s="26"/>
      <c r="F2010" s="26"/>
      <c r="G2010" s="26"/>
      <c r="H2010" s="5"/>
    </row>
    <row r="2011" spans="3:8" ht="14.25" customHeight="1">
      <c r="C2011" s="244"/>
      <c r="D2011" s="26"/>
      <c r="E2011" s="26"/>
      <c r="F2011" s="26"/>
      <c r="G2011" s="26"/>
      <c r="H2011" s="5"/>
    </row>
    <row r="2012" spans="3:8" ht="14.25" customHeight="1">
      <c r="C2012" s="244"/>
      <c r="D2012" s="26"/>
      <c r="E2012" s="26"/>
      <c r="F2012" s="26"/>
      <c r="G2012" s="26"/>
      <c r="H2012" s="5"/>
    </row>
    <row r="2013" spans="3:8" ht="14.25" customHeight="1">
      <c r="C2013" s="244"/>
      <c r="D2013" s="26"/>
      <c r="E2013" s="26"/>
      <c r="F2013" s="26"/>
      <c r="G2013" s="26"/>
      <c r="H2013" s="5"/>
    </row>
    <row r="2014" spans="3:8" ht="14.25" customHeight="1">
      <c r="C2014" s="244"/>
      <c r="D2014" s="26"/>
      <c r="E2014" s="26"/>
      <c r="F2014" s="26"/>
      <c r="G2014" s="26"/>
      <c r="H2014" s="5"/>
    </row>
    <row r="2015" spans="3:8" ht="14.25" customHeight="1">
      <c r="C2015" s="244"/>
      <c r="D2015" s="26"/>
      <c r="E2015" s="26"/>
      <c r="F2015" s="26"/>
      <c r="G2015" s="26"/>
      <c r="H2015" s="5"/>
    </row>
    <row r="2016" spans="3:8" ht="14.25" customHeight="1">
      <c r="C2016" s="244"/>
      <c r="D2016" s="26"/>
      <c r="E2016" s="26"/>
      <c r="F2016" s="26"/>
      <c r="G2016" s="26"/>
      <c r="H2016" s="5"/>
    </row>
    <row r="2017" spans="2:44" ht="14.25" customHeight="1">
      <c r="C2017" s="244"/>
      <c r="D2017" s="26"/>
      <c r="E2017" s="26"/>
      <c r="F2017" s="26"/>
      <c r="G2017" s="26"/>
      <c r="H2017" s="5"/>
    </row>
    <row r="2018" spans="2:44" ht="14.25" customHeight="1">
      <c r="C2018" s="244"/>
      <c r="D2018" s="26"/>
      <c r="E2018" s="26"/>
      <c r="F2018" s="26"/>
      <c r="G2018" s="26"/>
      <c r="H2018" s="5"/>
    </row>
    <row r="2019" spans="2:44" ht="14.25" customHeight="1">
      <c r="C2019" s="244"/>
      <c r="D2019" s="26"/>
      <c r="E2019" s="26"/>
      <c r="F2019" s="26"/>
      <c r="G2019" s="26"/>
      <c r="H2019" s="5"/>
    </row>
    <row r="2020" spans="2:44" ht="14.25" customHeight="1">
      <c r="C2020" s="244"/>
      <c r="D2020" s="26"/>
      <c r="E2020" s="26"/>
      <c r="F2020" s="26"/>
      <c r="G2020" s="26"/>
      <c r="H2020" s="5"/>
    </row>
    <row r="2021" spans="2:44" ht="14.25" customHeight="1">
      <c r="C2021" s="244"/>
      <c r="D2021" s="26"/>
      <c r="E2021" s="26"/>
      <c r="F2021" s="26"/>
      <c r="G2021" s="26"/>
      <c r="H2021" s="5"/>
    </row>
    <row r="2022" spans="2:44" ht="14.25" customHeight="1">
      <c r="C2022" s="244"/>
      <c r="D2022" s="26"/>
      <c r="E2022" s="26"/>
      <c r="F2022" s="26"/>
      <c r="G2022" s="26"/>
      <c r="H2022" s="5"/>
    </row>
    <row r="2023" spans="2:44" ht="14.25" customHeight="1">
      <c r="C2023" s="244"/>
      <c r="D2023" s="26"/>
      <c r="E2023" s="26"/>
      <c r="F2023" s="26"/>
      <c r="G2023" s="26"/>
      <c r="H2023" s="5"/>
    </row>
    <row r="2024" spans="2:44" ht="14.25" customHeight="1">
      <c r="C2024" s="244"/>
      <c r="D2024" s="26"/>
      <c r="E2024" s="26"/>
      <c r="F2024" s="26"/>
      <c r="G2024" s="26"/>
      <c r="H2024" s="5"/>
    </row>
    <row r="2025" spans="2:44" ht="14.25" customHeight="1">
      <c r="C2025" s="244"/>
      <c r="D2025" s="26"/>
      <c r="E2025" s="26"/>
      <c r="F2025" s="26"/>
      <c r="G2025" s="26"/>
      <c r="H2025" s="5"/>
    </row>
    <row r="2026" spans="2:44" ht="14.25" customHeight="1">
      <c r="C2026" s="244"/>
      <c r="D2026" s="26"/>
      <c r="E2026" s="26"/>
      <c r="F2026" s="26"/>
      <c r="G2026" s="26"/>
      <c r="H2026" s="5"/>
    </row>
    <row r="2027" spans="2:44" ht="14.25" customHeight="1">
      <c r="B2027" s="559" t="str">
        <f>TITLE!$C$33</f>
        <v>Полотна: ДОБОР LADA</v>
      </c>
      <c r="C2027" s="560"/>
      <c r="D2027" s="117"/>
      <c r="E2027" s="117"/>
      <c r="F2027" s="117"/>
      <c r="G2027" s="117"/>
      <c r="H2027" s="117"/>
      <c r="I2027" s="120"/>
      <c r="J2027" s="120"/>
      <c r="K2027" s="120"/>
      <c r="L2027" s="120"/>
      <c r="M2027" s="120"/>
      <c r="N2027" s="120"/>
      <c r="O2027" s="120"/>
      <c r="P2027" s="120"/>
      <c r="Q2027" s="120"/>
      <c r="R2027" s="120"/>
      <c r="S2027" s="544" t="str">
        <f>IF($C$1="ENG",CONCATENATE("up to: ",B1959),CONCATENATE("вгору до: ",B1959))</f>
        <v>вгору до: Полотна скляні: ГЛАСФОРД</v>
      </c>
      <c r="T2027" s="544"/>
      <c r="U2027" s="544"/>
      <c r="V2027" s="544"/>
      <c r="W2027" s="544"/>
    </row>
    <row r="2028" spans="2:44" ht="14.25" customHeight="1">
      <c r="B2028" s="146"/>
      <c r="C2028" s="423"/>
      <c r="D2028" s="9"/>
      <c r="E2028" s="9"/>
      <c r="F2028" s="10"/>
      <c r="G2028" s="10"/>
      <c r="H2028" s="10"/>
      <c r="I2028" s="8"/>
      <c r="J2028" s="8"/>
      <c r="K2028" s="8"/>
      <c r="L2028" s="8"/>
      <c r="M2028" s="11"/>
      <c r="P2028" s="8"/>
      <c r="Q2028" s="11"/>
    </row>
    <row r="2029" spans="2:44" ht="14.25" customHeight="1">
      <c r="B2029" s="556" t="str">
        <f>IF($C$1="ENG","model","модель")</f>
        <v>модель</v>
      </c>
      <c r="C2029" s="121" t="str">
        <f>IF($C$1="ENG","cover:","покриття:")</f>
        <v>покриття:</v>
      </c>
      <c r="D2029" s="538" t="str">
        <f>IF($C$1="ENG","Verto-CELL","Verto-CELL")</f>
        <v>Verto-CELL</v>
      </c>
      <c r="E2029" s="539"/>
      <c r="F2029" s="538" t="str">
        <f>IF($C$1="ENG","UNI-MAT","UNI-MAT")</f>
        <v>UNI-MAT</v>
      </c>
      <c r="G2029" s="539"/>
      <c r="H2029" s="538" t="str">
        <f>IF($C$1="ENG","RESIST","RESIST")</f>
        <v>RESIST</v>
      </c>
      <c r="I2029" s="539"/>
      <c r="J2029" s="538" t="str">
        <f>IF($C$1="ENG","Verto LINE-3D","Verto LINE-3D")</f>
        <v>Verto LINE-3D</v>
      </c>
      <c r="K2029" s="539"/>
      <c r="L2029" s="538" t="str">
        <f>IF($C$1="ENG","ECO Shpon","ЕКО Шпон")</f>
        <v>ЕКО Шпон</v>
      </c>
      <c r="M2029" s="539"/>
      <c r="P2029" s="20"/>
      <c r="Q2029" s="20"/>
    </row>
    <row r="2030" spans="2:44" ht="27.75" customHeight="1">
      <c r="B2030" s="557"/>
      <c r="C2030" s="122" t="str">
        <f>IF($C$1="ENG","filling:","заповнення:")</f>
        <v>заповнення:</v>
      </c>
      <c r="D2030" s="540" t="str">
        <f>IF($C$1="ENG","softwood","клеєний сосновий брус")</f>
        <v>клеєний сосновий брус</v>
      </c>
      <c r="E2030" s="541"/>
      <c r="F2030" s="540" t="str">
        <f>IF($C$1="ENG","softwood","клеєний сосновий брус")</f>
        <v>клеєний сосновий брус</v>
      </c>
      <c r="G2030" s="541"/>
      <c r="H2030" s="540" t="str">
        <f>IF($C$1="ENG","softwood","клеєний сосновий брус")</f>
        <v>клеєний сосновий брус</v>
      </c>
      <c r="I2030" s="541"/>
      <c r="J2030" s="540" t="str">
        <f>IF($C$1="ENG","softwood","клеєний сосновий брус")</f>
        <v>клеєний сосновий брус</v>
      </c>
      <c r="K2030" s="541"/>
      <c r="L2030" s="540" t="str">
        <f>IF($C$1="ENG","softwood","клеєний сосновий брус")</f>
        <v>клеєний сосновий брус</v>
      </c>
      <c r="M2030" s="541"/>
      <c r="P2030" s="20"/>
      <c r="Q2030" s="20"/>
      <c r="X2030" s="383"/>
    </row>
    <row r="2031" spans="2:44" ht="14.25" customHeight="1">
      <c r="B2031" s="558"/>
      <c r="C2031" s="123" t="str">
        <f>IF($C$1="ENG","glazing:","скління:")</f>
        <v>скління:</v>
      </c>
      <c r="D2031" s="542" t="str">
        <f>IF($C$1="ENG","Satin","Сатин")</f>
        <v>Сатин</v>
      </c>
      <c r="E2031" s="543"/>
      <c r="F2031" s="542" t="str">
        <f>IF($C$1="ENG","Satin","Сатин")</f>
        <v>Сатин</v>
      </c>
      <c r="G2031" s="543"/>
      <c r="H2031" s="542" t="str">
        <f>IF($C$1="ENG","Satin","Сатин")</f>
        <v>Сатин</v>
      </c>
      <c r="I2031" s="543"/>
      <c r="J2031" s="542" t="str">
        <f>IF($C$1="ENG","Satin","Сатин")</f>
        <v>Сатин</v>
      </c>
      <c r="K2031" s="543"/>
      <c r="L2031" s="542" t="str">
        <f>IF($C$1="ENG","Satin","Сатин")</f>
        <v>Сатин</v>
      </c>
      <c r="M2031" s="543"/>
      <c r="N2031" s="103"/>
      <c r="O2031" s="20"/>
      <c r="P2031" s="20"/>
      <c r="Q2031" s="20"/>
      <c r="R2031" s="103"/>
      <c r="S2031" s="20"/>
      <c r="T2031" s="103"/>
      <c r="V2031" s="103"/>
      <c r="W2031" s="20"/>
    </row>
    <row r="2032" spans="2:44" ht="34.5" customHeight="1">
      <c r="B2032" s="13" t="s">
        <v>43</v>
      </c>
      <c r="C2032" s="14"/>
      <c r="D2032" s="15">
        <f>IF(AC2032="","",(1-$W$2)*(AC2032/1.2))</f>
        <v>4933.3333333333339</v>
      </c>
      <c r="E2032" s="64">
        <f>IF($W$5=0.2,D2032*1.2,D2032)/$W$4</f>
        <v>5920.0000000000009</v>
      </c>
      <c r="F2032" s="15">
        <f>IF(AD2032="","",(1-$W$2)*(AD2032/1.2))</f>
        <v>5658.3333333333339</v>
      </c>
      <c r="G2032" s="64">
        <f>IF($W$5=0.2,F2032*1.2,F2032)/$W$4</f>
        <v>6790.0000000000009</v>
      </c>
      <c r="H2032" s="15">
        <f>IF(AE2032="","",(1-$W$2)*(AE2032/1.2))</f>
        <v>5841.666666666667</v>
      </c>
      <c r="I2032" s="64">
        <f>IF($W$5=0.2,H2032*1.2,H2032)/$W$4</f>
        <v>7010</v>
      </c>
      <c r="J2032" s="15">
        <f>IF(AF2032="","",(1-$W$2)*(AF2032/1.2))</f>
        <v>6200</v>
      </c>
      <c r="K2032" s="64">
        <f>IF($W$5=0.2,J2032*1.2,J2032)/$W$4</f>
        <v>7440</v>
      </c>
      <c r="L2032" s="15">
        <f>IF(AG2032="","",(1-$W$2)*(AG2032/1.2))</f>
        <v>6433.3333333333339</v>
      </c>
      <c r="M2032" s="64">
        <f>IF($W$5=0.2,L2032*1.2,L2032)/$W$4</f>
        <v>7720</v>
      </c>
      <c r="N2032" s="103"/>
      <c r="O2032" s="20"/>
      <c r="P2032" s="20"/>
      <c r="Q2032" s="20"/>
      <c r="R2032" s="103"/>
      <c r="S2032" s="20"/>
      <c r="T2032" s="103"/>
      <c r="V2032" s="103"/>
      <c r="W2032" s="20"/>
      <c r="AC2032" s="331">
        <v>5920</v>
      </c>
      <c r="AD2032" s="331">
        <v>6790</v>
      </c>
      <c r="AE2032" s="331">
        <v>7010</v>
      </c>
      <c r="AF2032" s="331">
        <v>7440</v>
      </c>
      <c r="AG2032" s="331">
        <v>7720</v>
      </c>
      <c r="AH2032" s="288">
        <v>5920</v>
      </c>
      <c r="AI2032" s="288">
        <f>AH2032/AC2032-1</f>
        <v>0</v>
      </c>
      <c r="AJ2032" s="288">
        <v>6790</v>
      </c>
      <c r="AK2032" s="288">
        <f>AJ2032/AD2032-1</f>
        <v>0</v>
      </c>
      <c r="AL2032" s="288">
        <v>7010</v>
      </c>
      <c r="AM2032" s="288">
        <f>AL2032/AE2032-1</f>
        <v>0</v>
      </c>
      <c r="AN2032" s="288">
        <v>7440</v>
      </c>
      <c r="AO2032" s="288">
        <f>AN2032/AF2032-1</f>
        <v>0</v>
      </c>
      <c r="AP2032" s="288">
        <v>7720</v>
      </c>
      <c r="AQ2032" s="288">
        <f>AP2032/AG2032-1</f>
        <v>0</v>
      </c>
      <c r="AR2032" s="332"/>
    </row>
    <row r="2033" spans="2:44" ht="34.5" customHeight="1">
      <c r="B2033" s="16" t="s">
        <v>44</v>
      </c>
      <c r="C2033" s="17"/>
      <c r="D2033" s="18">
        <f>IF(AC2033="","",(1-$W$2)*(AC2033/1.2))</f>
        <v>5033.3333333333339</v>
      </c>
      <c r="E2033" s="66">
        <f>IF($W$5=0.2,D2033*1.2,D2033)/$W$4</f>
        <v>6040.0000000000009</v>
      </c>
      <c r="F2033" s="18">
        <f>IF(AD2033="","",(1-$W$2)*(AD2033/1.2))</f>
        <v>5766.666666666667</v>
      </c>
      <c r="G2033" s="66">
        <f>IF($W$5=0.2,F2033*1.2,F2033)/$W$4</f>
        <v>6920</v>
      </c>
      <c r="H2033" s="18">
        <f>IF(AE2033="","",(1-$W$2)*(AE2033/1.2))</f>
        <v>5966.666666666667</v>
      </c>
      <c r="I2033" s="66">
        <f>IF($W$5=0.2,H2033*1.2,H2033)/$W$4</f>
        <v>7160</v>
      </c>
      <c r="J2033" s="18">
        <f>IF(AF2033="","",(1-$W$2)*(AF2033/1.2))</f>
        <v>6325</v>
      </c>
      <c r="K2033" s="66">
        <f>IF($W$5=0.2,J2033*1.2,J2033)/$W$4</f>
        <v>7590</v>
      </c>
      <c r="L2033" s="18">
        <f>IF(AG2033="","",(1-$W$2)*(AG2033/1.2))</f>
        <v>6958.3333333333339</v>
      </c>
      <c r="M2033" s="66">
        <f>IF($W$5=0.2,L2033*1.2,L2033)/$W$4</f>
        <v>8350</v>
      </c>
      <c r="N2033" s="103"/>
      <c r="O2033" s="20"/>
      <c r="P2033" s="20"/>
      <c r="Q2033" s="20"/>
      <c r="R2033" s="103"/>
      <c r="S2033" s="20"/>
      <c r="T2033" s="103"/>
      <c r="V2033" s="103"/>
      <c r="W2033" s="20"/>
      <c r="AC2033" s="331">
        <v>6040</v>
      </c>
      <c r="AD2033" s="331">
        <v>6920</v>
      </c>
      <c r="AE2033" s="331">
        <v>7160</v>
      </c>
      <c r="AF2033" s="331">
        <v>7590</v>
      </c>
      <c r="AG2033" s="331">
        <v>8350</v>
      </c>
      <c r="AH2033" s="288">
        <v>6040</v>
      </c>
      <c r="AI2033" s="288">
        <f t="shared" ref="AI2033:AI2036" si="273">AH2033/AC2033-1</f>
        <v>0</v>
      </c>
      <c r="AJ2033" s="288">
        <v>6920</v>
      </c>
      <c r="AK2033" s="288">
        <f t="shared" ref="AK2033:AK2036" si="274">AJ2033/AD2033-1</f>
        <v>0</v>
      </c>
      <c r="AL2033" s="288">
        <v>7160</v>
      </c>
      <c r="AM2033" s="288">
        <f t="shared" ref="AM2033:AM2036" si="275">AL2033/AE2033-1</f>
        <v>0</v>
      </c>
      <c r="AN2033" s="288">
        <v>7590</v>
      </c>
      <c r="AO2033" s="288">
        <f t="shared" ref="AO2033:AO2036" si="276">AN2033/AF2033-1</f>
        <v>0</v>
      </c>
      <c r="AP2033" s="288">
        <v>8350</v>
      </c>
      <c r="AQ2033" s="288">
        <f t="shared" ref="AQ2033:AQ2036" si="277">AP2033/AG2033-1</f>
        <v>0</v>
      </c>
      <c r="AR2033" s="332"/>
    </row>
    <row r="2034" spans="2:44" ht="34.5" customHeight="1">
      <c r="B2034" s="16" t="s">
        <v>45</v>
      </c>
      <c r="C2034" s="17"/>
      <c r="D2034" s="18">
        <f>IF(AC2034="","",(1-$W$2)*(AC2034/1.2))</f>
        <v>4933.3333333333339</v>
      </c>
      <c r="E2034" s="66">
        <f>IF($W$5=0.2,D2034*1.2,D2034)/$W$4</f>
        <v>5920.0000000000009</v>
      </c>
      <c r="F2034" s="18">
        <f>IF(AD2034="","",(1-$W$2)*(AD2034/1.2))</f>
        <v>5650</v>
      </c>
      <c r="G2034" s="66">
        <f>IF($W$5=0.2,F2034*1.2,F2034)/$W$4</f>
        <v>6780</v>
      </c>
      <c r="H2034" s="18">
        <f>IF(AE2034="","",(1-$W$2)*(AE2034/1.2))</f>
        <v>5841.666666666667</v>
      </c>
      <c r="I2034" s="66">
        <f>IF($W$5=0.2,H2034*1.2,H2034)/$W$4</f>
        <v>7010</v>
      </c>
      <c r="J2034" s="18">
        <f>IF(AF2034="","",(1-$W$2)*(AF2034/1.2))</f>
        <v>6200</v>
      </c>
      <c r="K2034" s="66">
        <f>IF($W$5=0.2,J2034*1.2,J2034)/$W$4</f>
        <v>7440</v>
      </c>
      <c r="L2034" s="18">
        <f>IF(AG2034="","",(1-$W$2)*(AG2034/1.2))</f>
        <v>6433.3333333333339</v>
      </c>
      <c r="M2034" s="66">
        <f>IF($W$5=0.2,L2034*1.2,L2034)/$W$4</f>
        <v>7720</v>
      </c>
      <c r="N2034" s="103"/>
      <c r="O2034" s="20"/>
      <c r="P2034" s="20"/>
      <c r="Q2034" s="20"/>
      <c r="R2034" s="103"/>
      <c r="S2034" s="20"/>
      <c r="T2034" s="103"/>
      <c r="V2034" s="103"/>
      <c r="W2034" s="20"/>
      <c r="AC2034" s="331">
        <v>5920</v>
      </c>
      <c r="AD2034" s="331">
        <v>6780</v>
      </c>
      <c r="AE2034" s="331">
        <v>7010</v>
      </c>
      <c r="AF2034" s="331">
        <v>7440</v>
      </c>
      <c r="AG2034" s="331">
        <v>7720</v>
      </c>
      <c r="AH2034" s="288">
        <v>5920</v>
      </c>
      <c r="AI2034" s="288">
        <f t="shared" si="273"/>
        <v>0</v>
      </c>
      <c r="AJ2034" s="288">
        <v>6780</v>
      </c>
      <c r="AK2034" s="288">
        <f t="shared" si="274"/>
        <v>0</v>
      </c>
      <c r="AL2034" s="288">
        <v>7010</v>
      </c>
      <c r="AM2034" s="288">
        <f t="shared" si="275"/>
        <v>0</v>
      </c>
      <c r="AN2034" s="288">
        <v>7440</v>
      </c>
      <c r="AO2034" s="288">
        <f t="shared" si="276"/>
        <v>0</v>
      </c>
      <c r="AP2034" s="288">
        <v>7720</v>
      </c>
      <c r="AQ2034" s="288">
        <f t="shared" si="277"/>
        <v>0</v>
      </c>
      <c r="AR2034" s="332"/>
    </row>
    <row r="2035" spans="2:44" ht="34.5" customHeight="1">
      <c r="B2035" s="16" t="s">
        <v>46</v>
      </c>
      <c r="C2035" s="17"/>
      <c r="D2035" s="18">
        <f>IF(AC2035="","",(1-$W$2)*(AC2035/1.2))</f>
        <v>5108.3333333333339</v>
      </c>
      <c r="E2035" s="66">
        <f>IF($W$5=0.2,D2035*1.2,D2035)/$W$4</f>
        <v>6130.0000000000009</v>
      </c>
      <c r="F2035" s="18">
        <f>IF(AD2035="","",(1-$W$2)*(AD2035/1.2))</f>
        <v>5875</v>
      </c>
      <c r="G2035" s="66">
        <f>IF($W$5=0.2,F2035*1.2,F2035)/$W$4</f>
        <v>7050</v>
      </c>
      <c r="H2035" s="18">
        <f>IF(AE2035="","",(1-$W$2)*(AE2035/1.2))</f>
        <v>6033.3333333333339</v>
      </c>
      <c r="I2035" s="66">
        <f>IF($W$5=0.2,H2035*1.2,H2035)/$W$4</f>
        <v>7240.0000000000009</v>
      </c>
      <c r="J2035" s="18">
        <f>IF(AF2035="","",(1-$W$2)*(AF2035/1.2))</f>
        <v>6383.3333333333339</v>
      </c>
      <c r="K2035" s="66">
        <f>IF($W$5=0.2,J2035*1.2,J2035)/$W$4</f>
        <v>7660</v>
      </c>
      <c r="L2035" s="18">
        <f>IF(AG2035="","",(1-$W$2)*(AG2035/1.2))</f>
        <v>6591.666666666667</v>
      </c>
      <c r="M2035" s="66">
        <f>IF($W$5=0.2,L2035*1.2,L2035)/$W$4</f>
        <v>7910</v>
      </c>
      <c r="N2035" s="103"/>
      <c r="O2035" s="20"/>
      <c r="P2035" s="20"/>
      <c r="Q2035" s="20"/>
      <c r="R2035" s="103"/>
      <c r="S2035" s="20"/>
      <c r="T2035" s="103"/>
      <c r="V2035" s="103"/>
      <c r="W2035" s="20"/>
      <c r="AC2035" s="331">
        <v>6130</v>
      </c>
      <c r="AD2035" s="331">
        <v>7050</v>
      </c>
      <c r="AE2035" s="331">
        <v>7240</v>
      </c>
      <c r="AF2035" s="331">
        <v>7660</v>
      </c>
      <c r="AG2035" s="331">
        <v>7910</v>
      </c>
      <c r="AH2035" s="288">
        <v>6130</v>
      </c>
      <c r="AI2035" s="288">
        <f t="shared" si="273"/>
        <v>0</v>
      </c>
      <c r="AJ2035" s="288">
        <v>7050</v>
      </c>
      <c r="AK2035" s="288">
        <f t="shared" si="274"/>
        <v>0</v>
      </c>
      <c r="AL2035" s="288">
        <v>7240</v>
      </c>
      <c r="AM2035" s="288">
        <f t="shared" si="275"/>
        <v>0</v>
      </c>
      <c r="AN2035" s="288">
        <v>7660</v>
      </c>
      <c r="AO2035" s="288">
        <f t="shared" si="276"/>
        <v>0</v>
      </c>
      <c r="AP2035" s="288">
        <v>7910</v>
      </c>
      <c r="AQ2035" s="288">
        <f t="shared" si="277"/>
        <v>0</v>
      </c>
      <c r="AR2035" s="332"/>
    </row>
    <row r="2036" spans="2:44" ht="34.5" customHeight="1">
      <c r="B2036" s="23" t="s">
        <v>47</v>
      </c>
      <c r="C2036" s="24"/>
      <c r="D2036" s="25">
        <f>IF(AC2036="","",(1-$W$2)*(AC2036/1.2))</f>
        <v>5291.666666666667</v>
      </c>
      <c r="E2036" s="69">
        <f>IF($W$5=0.2,D2036*1.2,D2036)/$W$4</f>
        <v>6350</v>
      </c>
      <c r="F2036" s="25">
        <f>IF(AD2036="","",(1-$W$2)*(AD2036/1.2))</f>
        <v>6066.666666666667</v>
      </c>
      <c r="G2036" s="69">
        <f>IF($W$5=0.2,F2036*1.2,F2036)/$W$4</f>
        <v>7280</v>
      </c>
      <c r="H2036" s="25">
        <f>IF(AE2036="","",(1-$W$2)*(AE2036/1.2))</f>
        <v>6216.666666666667</v>
      </c>
      <c r="I2036" s="69">
        <f>IF($W$5=0.2,H2036*1.2,H2036)/$W$4</f>
        <v>7460</v>
      </c>
      <c r="J2036" s="25">
        <f>IF(AF2036="","",(1-$W$2)*(AF2036/1.2))</f>
        <v>6591.666666666667</v>
      </c>
      <c r="K2036" s="69">
        <f>IF($W$5=0.2,J2036*1.2,J2036)/$W$4</f>
        <v>7910</v>
      </c>
      <c r="L2036" s="25">
        <f>IF(AG2036="","",(1-$W$2)*(AG2036/1.2))</f>
        <v>6791.666666666667</v>
      </c>
      <c r="M2036" s="69">
        <f>IF($W$5=0.2,L2036*1.2,L2036)/$W$4</f>
        <v>8150</v>
      </c>
      <c r="P2036" s="20"/>
      <c r="Q2036" s="20"/>
      <c r="AC2036" s="331">
        <v>6350</v>
      </c>
      <c r="AD2036" s="331">
        <v>7280</v>
      </c>
      <c r="AE2036" s="331">
        <v>7460</v>
      </c>
      <c r="AF2036" s="331">
        <v>7910</v>
      </c>
      <c r="AG2036" s="331">
        <v>8150</v>
      </c>
      <c r="AH2036" s="288">
        <v>6350</v>
      </c>
      <c r="AI2036" s="288">
        <f t="shared" si="273"/>
        <v>0</v>
      </c>
      <c r="AJ2036" s="288">
        <v>7280</v>
      </c>
      <c r="AK2036" s="288">
        <f t="shared" si="274"/>
        <v>0</v>
      </c>
      <c r="AL2036" s="288">
        <v>7460</v>
      </c>
      <c r="AM2036" s="288">
        <f t="shared" si="275"/>
        <v>0</v>
      </c>
      <c r="AN2036" s="288">
        <v>7910</v>
      </c>
      <c r="AO2036" s="288">
        <f t="shared" si="276"/>
        <v>0</v>
      </c>
      <c r="AP2036" s="288">
        <v>8150</v>
      </c>
      <c r="AQ2036" s="288">
        <f t="shared" si="277"/>
        <v>0</v>
      </c>
      <c r="AR2036" s="332"/>
    </row>
    <row r="2037" spans="2:44" ht="14.25" customHeight="1">
      <c r="C2037" s="244"/>
      <c r="D2037" s="26"/>
      <c r="E2037" s="57"/>
      <c r="F2037" s="10"/>
      <c r="G2037" s="10"/>
      <c r="H2037" s="10"/>
      <c r="I2037" s="142"/>
      <c r="J2037" s="48"/>
      <c r="K2037" s="48"/>
      <c r="L2037" s="8"/>
      <c r="P2037" s="20"/>
      <c r="Q2037" s="20"/>
    </row>
    <row r="2038" spans="2:44">
      <c r="B2038" s="211" t="str">
        <f>IF($C$1="ENG","For additonal charge:","Послуги за додаткову плату:")</f>
        <v>Послуги за додаткову плату:</v>
      </c>
      <c r="C2038" s="419"/>
      <c r="D2038" s="212"/>
      <c r="E2038" s="213"/>
      <c r="F2038" s="26"/>
      <c r="G2038" s="57"/>
      <c r="H2038" s="10"/>
      <c r="I2038" s="8"/>
      <c r="J2038" s="8"/>
      <c r="K2038" s="8"/>
    </row>
    <row r="2039" spans="2:44" ht="5.0999999999999996" customHeight="1">
      <c r="B2039" s="27"/>
      <c r="C2039" s="244"/>
      <c r="D2039" s="26"/>
      <c r="E2039" s="57"/>
      <c r="F2039" s="26"/>
      <c r="G2039" s="26"/>
      <c r="H2039" s="10"/>
      <c r="I2039" s="8"/>
      <c r="J2039" s="8"/>
      <c r="K2039" s="8"/>
    </row>
    <row r="2040" spans="2:44">
      <c r="B2040" s="554" t="str">
        <f>IF($C$1="ENG","glazing Graphite / Bronze","скло Графіт / Бронза")</f>
        <v>скло Графіт / Бронза</v>
      </c>
      <c r="C2040" s="555"/>
      <c r="D2040" s="101">
        <f>IF(AC2040="","",(1-$W$2)*(AC2040/1.2))</f>
        <v>425</v>
      </c>
      <c r="E2040" s="91">
        <f>IF($W$5=0.2,D2040*1.2,D2040)/$W$4</f>
        <v>510</v>
      </c>
      <c r="F2040" s="26"/>
      <c r="G2040" s="26"/>
      <c r="H2040" s="5"/>
      <c r="AC2040" s="297">
        <v>510</v>
      </c>
      <c r="AD2040" s="288">
        <v>510</v>
      </c>
      <c r="AE2040" s="288">
        <f>AD2040/AC2040-1</f>
        <v>0</v>
      </c>
      <c r="AF2040" s="288"/>
      <c r="AG2040" s="288"/>
      <c r="AH2040" s="288"/>
      <c r="AI2040" s="288"/>
      <c r="AJ2040" s="288"/>
      <c r="AK2040" s="288"/>
      <c r="AL2040" s="288"/>
    </row>
    <row r="2041" spans="2:44">
      <c r="B2041" s="554" t="str">
        <f>IF($C$1="ENG","glazing Lacobel black ","скло Lacobel чорне")</f>
        <v>скло Lacobel чорне</v>
      </c>
      <c r="C2041" s="555"/>
      <c r="D2041" s="405">
        <f t="shared" ref="D2041" si="278">IF(AC2041="","",(1-$W$2)*(AC2041/1.2))</f>
        <v>458.33333333333337</v>
      </c>
      <c r="E2041" s="92">
        <f>IF($W$5=0.2,D2041*1.2,D2041)/$W$4</f>
        <v>550</v>
      </c>
      <c r="F2041" s="26"/>
      <c r="G2041" s="26"/>
      <c r="H2041" s="5"/>
      <c r="AC2041" s="297">
        <v>550</v>
      </c>
      <c r="AD2041" s="297">
        <v>550</v>
      </c>
      <c r="AE2041" s="288"/>
      <c r="AF2041" s="288"/>
      <c r="AG2041" s="288"/>
      <c r="AH2041" s="288"/>
      <c r="AI2041" s="288"/>
      <c r="AJ2041" s="288"/>
      <c r="AK2041" s="288"/>
      <c r="AL2041" s="288"/>
    </row>
    <row r="2042" spans="2:44">
      <c r="B2042" s="554" t="str">
        <f>IF($C$1="ENG","door hindge Prestige (1 unit)","завіса Prestige (1 шт)")</f>
        <v>завіса Prestige (1 шт)</v>
      </c>
      <c r="C2042" s="555"/>
      <c r="D2042" s="134">
        <f>IF(AC2042="","",(1-$W$2)*(AC2042/1.2))</f>
        <v>216.66666666666669</v>
      </c>
      <c r="E2042" s="92">
        <f>IF($W$5=0.2,D2042*1.2,D2042)/$W$4</f>
        <v>260</v>
      </c>
      <c r="F2042" s="26"/>
      <c r="G2042" s="26"/>
      <c r="AC2042" s="297">
        <v>260</v>
      </c>
      <c r="AD2042" s="288">
        <v>260</v>
      </c>
      <c r="AE2042" s="288">
        <f t="shared" ref="AE2042:AE2043" si="279">AD2042/AC2042-1</f>
        <v>0</v>
      </c>
      <c r="AF2042" s="288"/>
      <c r="AG2042" s="288"/>
      <c r="AH2042" s="288"/>
      <c r="AI2042" s="288"/>
      <c r="AJ2042" s="288"/>
      <c r="AK2042" s="288"/>
      <c r="AL2042" s="288"/>
    </row>
    <row r="2043" spans="2:44">
      <c r="B2043" s="554" t="str">
        <f>IF($C$1="ENG","door hinge caps (1 set)","накладка на завіси (1 к-т)")</f>
        <v>накладка на завіси (1 к-т)</v>
      </c>
      <c r="C2043" s="555"/>
      <c r="D2043" s="134">
        <f>IF(AC2043="","",(1-$W$2)*(AC2043/1.2))</f>
        <v>66.666666666666671</v>
      </c>
      <c r="E2043" s="323">
        <f>IF($W$5=0.2,D2043*1.2,D2043)/$W$4</f>
        <v>80</v>
      </c>
      <c r="F2043" s="26"/>
      <c r="G2043" s="26"/>
      <c r="AC2043" s="297">
        <v>80</v>
      </c>
      <c r="AD2043" s="288">
        <v>80</v>
      </c>
      <c r="AE2043" s="288">
        <f t="shared" si="279"/>
        <v>0</v>
      </c>
      <c r="AF2043" s="288"/>
      <c r="AG2043" s="288"/>
      <c r="AH2043" s="288"/>
      <c r="AI2043" s="288"/>
      <c r="AJ2043" s="288"/>
      <c r="AK2043" s="288"/>
      <c r="AL2043" s="288"/>
    </row>
    <row r="2044" spans="2:44" ht="14.25" customHeight="1">
      <c r="C2044" s="244"/>
      <c r="D2044" s="26"/>
      <c r="E2044" s="26"/>
      <c r="F2044" s="26"/>
      <c r="G2044" s="26"/>
      <c r="H2044" s="5"/>
      <c r="T2044" s="536" t="str">
        <f>IF($C$1="ENG",CONCATENATE("down to: ",B2094),CONCATENATE("вниз до: ",B2094))</f>
        <v>вниз до: Полотна: ДОБОРИ</v>
      </c>
      <c r="U2044" s="536"/>
      <c r="V2044" s="536"/>
      <c r="W2044" s="536"/>
    </row>
    <row r="2045" spans="2:44" ht="14.25" customHeight="1">
      <c r="C2045" s="244"/>
      <c r="D2045" s="26"/>
      <c r="E2045" s="26"/>
      <c r="F2045" s="26"/>
      <c r="G2045" s="26"/>
      <c r="H2045" s="5"/>
    </row>
    <row r="2046" spans="2:44" ht="14.25" customHeight="1">
      <c r="C2046" s="244"/>
      <c r="D2046" s="26"/>
      <c r="E2046" s="26"/>
      <c r="F2046" s="26"/>
      <c r="G2046" s="26"/>
      <c r="H2046" s="5"/>
    </row>
    <row r="2047" spans="2:44" ht="14.25" customHeight="1">
      <c r="C2047" s="244"/>
      <c r="D2047" s="26"/>
      <c r="E2047" s="26"/>
      <c r="F2047" s="26"/>
      <c r="G2047" s="26"/>
      <c r="H2047" s="5"/>
    </row>
    <row r="2048" spans="2:44" ht="14.25" customHeight="1">
      <c r="C2048" s="244"/>
      <c r="D2048" s="26"/>
      <c r="E2048" s="26"/>
      <c r="F2048" s="26"/>
      <c r="G2048" s="26"/>
      <c r="H2048" s="5"/>
    </row>
    <row r="2049" spans="3:8" ht="14.25" customHeight="1">
      <c r="C2049" s="244"/>
      <c r="D2049" s="26"/>
      <c r="E2049" s="26"/>
      <c r="F2049" s="26"/>
      <c r="G2049" s="26"/>
      <c r="H2049" s="5"/>
    </row>
    <row r="2050" spans="3:8" ht="14.25" customHeight="1">
      <c r="C2050" s="244"/>
      <c r="D2050" s="26"/>
      <c r="E2050" s="26"/>
      <c r="F2050" s="26"/>
      <c r="G2050" s="26"/>
      <c r="H2050" s="5"/>
    </row>
    <row r="2051" spans="3:8" ht="14.25" customHeight="1">
      <c r="C2051" s="244"/>
      <c r="D2051" s="26"/>
      <c r="E2051" s="26"/>
      <c r="F2051" s="26"/>
      <c r="G2051" s="26"/>
      <c r="H2051" s="5"/>
    </row>
    <row r="2052" spans="3:8" ht="14.25" customHeight="1">
      <c r="C2052" s="244"/>
      <c r="D2052" s="26"/>
      <c r="E2052" s="26"/>
      <c r="F2052" s="26"/>
      <c r="G2052" s="26"/>
      <c r="H2052" s="5"/>
    </row>
    <row r="2053" spans="3:8" ht="14.25" customHeight="1">
      <c r="C2053" s="244"/>
      <c r="D2053" s="26"/>
      <c r="E2053" s="26"/>
      <c r="F2053" s="26"/>
      <c r="G2053" s="26"/>
      <c r="H2053" s="5"/>
    </row>
    <row r="2054" spans="3:8" ht="14.25" customHeight="1">
      <c r="C2054" s="244"/>
      <c r="D2054" s="26"/>
      <c r="E2054" s="26"/>
      <c r="F2054" s="26"/>
      <c r="G2054" s="26"/>
      <c r="H2054" s="5"/>
    </row>
    <row r="2055" spans="3:8" ht="14.25" customHeight="1">
      <c r="C2055" s="244"/>
      <c r="D2055" s="26"/>
      <c r="E2055" s="26"/>
      <c r="F2055" s="26"/>
      <c r="G2055" s="26"/>
      <c r="H2055" s="5"/>
    </row>
    <row r="2056" spans="3:8" ht="14.25" customHeight="1">
      <c r="C2056" s="244"/>
      <c r="D2056" s="26"/>
      <c r="E2056" s="26"/>
      <c r="F2056" s="26"/>
      <c r="G2056" s="26"/>
      <c r="H2056" s="5"/>
    </row>
    <row r="2057" spans="3:8" ht="14.25" customHeight="1">
      <c r="C2057" s="244"/>
      <c r="D2057" s="26"/>
      <c r="E2057" s="26"/>
      <c r="F2057" s="26"/>
      <c r="G2057" s="26"/>
      <c r="H2057" s="5"/>
    </row>
    <row r="2058" spans="3:8" ht="14.25" customHeight="1">
      <c r="C2058" s="244"/>
      <c r="D2058" s="26"/>
      <c r="E2058" s="26"/>
      <c r="F2058" s="26"/>
      <c r="G2058" s="26"/>
      <c r="H2058" s="5"/>
    </row>
    <row r="2059" spans="3:8" ht="14.25" customHeight="1">
      <c r="C2059" s="244"/>
      <c r="D2059" s="26"/>
      <c r="E2059" s="26"/>
      <c r="F2059" s="26"/>
      <c r="G2059" s="26"/>
      <c r="H2059" s="5"/>
    </row>
    <row r="2060" spans="3:8" ht="14.25" customHeight="1">
      <c r="C2060" s="244"/>
      <c r="D2060" s="26"/>
      <c r="E2060" s="26"/>
      <c r="F2060" s="26"/>
      <c r="G2060" s="26"/>
      <c r="H2060" s="5"/>
    </row>
    <row r="2061" spans="3:8" ht="14.25" customHeight="1">
      <c r="C2061" s="244"/>
      <c r="D2061" s="26"/>
      <c r="E2061" s="26"/>
      <c r="F2061" s="26"/>
      <c r="G2061" s="26"/>
      <c r="H2061" s="5"/>
    </row>
    <row r="2062" spans="3:8" ht="14.25" customHeight="1">
      <c r="C2062" s="244"/>
      <c r="D2062" s="26"/>
      <c r="E2062" s="26"/>
      <c r="F2062" s="26"/>
      <c r="G2062" s="26"/>
      <c r="H2062" s="5"/>
    </row>
    <row r="2063" spans="3:8" ht="14.25" customHeight="1">
      <c r="C2063" s="244"/>
      <c r="D2063" s="26"/>
      <c r="E2063" s="26"/>
      <c r="F2063" s="26"/>
      <c r="G2063" s="26"/>
      <c r="H2063" s="5"/>
    </row>
    <row r="2064" spans="3:8" ht="14.25" customHeight="1">
      <c r="C2064" s="244"/>
      <c r="D2064" s="26"/>
      <c r="E2064" s="26"/>
      <c r="F2064" s="26"/>
      <c r="G2064" s="26"/>
      <c r="H2064" s="5"/>
    </row>
    <row r="2065" spans="3:8" ht="14.25" customHeight="1">
      <c r="C2065" s="244"/>
      <c r="D2065" s="26"/>
      <c r="E2065" s="26"/>
      <c r="F2065" s="26"/>
      <c r="G2065" s="26"/>
      <c r="H2065" s="5"/>
    </row>
    <row r="2066" spans="3:8" ht="14.25" customHeight="1">
      <c r="C2066" s="244"/>
      <c r="D2066" s="26"/>
      <c r="E2066" s="26"/>
      <c r="F2066" s="26"/>
      <c r="G2066" s="26"/>
      <c r="H2066" s="5"/>
    </row>
    <row r="2067" spans="3:8" ht="14.25" customHeight="1">
      <c r="C2067" s="244"/>
      <c r="D2067" s="26"/>
      <c r="E2067" s="26"/>
      <c r="F2067" s="26"/>
      <c r="G2067" s="26"/>
      <c r="H2067" s="5"/>
    </row>
    <row r="2068" spans="3:8" ht="14.25" customHeight="1">
      <c r="C2068" s="244"/>
      <c r="D2068" s="26"/>
      <c r="E2068" s="26"/>
      <c r="F2068" s="26"/>
      <c r="G2068" s="26"/>
      <c r="H2068" s="5"/>
    </row>
    <row r="2069" spans="3:8" ht="14.25" customHeight="1">
      <c r="C2069" s="244"/>
      <c r="D2069" s="26"/>
      <c r="E2069" s="26"/>
      <c r="F2069" s="26"/>
      <c r="G2069" s="26"/>
      <c r="H2069" s="5"/>
    </row>
    <row r="2070" spans="3:8" ht="14.25" customHeight="1">
      <c r="C2070" s="244"/>
      <c r="D2070" s="26"/>
      <c r="E2070" s="26"/>
      <c r="F2070" s="26"/>
      <c r="G2070" s="26"/>
      <c r="H2070" s="5"/>
    </row>
    <row r="2071" spans="3:8" ht="14.25" customHeight="1">
      <c r="C2071" s="244"/>
      <c r="D2071" s="26"/>
      <c r="E2071" s="26"/>
      <c r="F2071" s="26"/>
      <c r="G2071" s="26"/>
      <c r="H2071" s="5"/>
    </row>
    <row r="2072" spans="3:8" ht="14.25" customHeight="1">
      <c r="C2072" s="244"/>
      <c r="D2072" s="26"/>
      <c r="E2072" s="26"/>
      <c r="F2072" s="26"/>
      <c r="G2072" s="26"/>
      <c r="H2072" s="5"/>
    </row>
    <row r="2073" spans="3:8" ht="14.25" customHeight="1">
      <c r="C2073" s="244"/>
      <c r="D2073" s="26"/>
      <c r="E2073" s="26"/>
      <c r="F2073" s="26"/>
      <c r="G2073" s="26"/>
      <c r="H2073" s="5"/>
    </row>
    <row r="2074" spans="3:8" ht="14.25" customHeight="1">
      <c r="C2074" s="244"/>
      <c r="D2074" s="26"/>
      <c r="E2074" s="26"/>
      <c r="F2074" s="26"/>
      <c r="G2074" s="26"/>
      <c r="H2074" s="5"/>
    </row>
    <row r="2075" spans="3:8" ht="14.25" customHeight="1">
      <c r="C2075" s="244"/>
      <c r="D2075" s="26"/>
      <c r="E2075" s="26"/>
      <c r="F2075" s="26"/>
      <c r="G2075" s="26"/>
      <c r="H2075" s="5"/>
    </row>
    <row r="2076" spans="3:8" ht="14.25" customHeight="1">
      <c r="C2076" s="244"/>
      <c r="D2076" s="26"/>
      <c r="E2076" s="26"/>
      <c r="F2076" s="26"/>
      <c r="G2076" s="26"/>
      <c r="H2076" s="5"/>
    </row>
    <row r="2077" spans="3:8" ht="14.25" customHeight="1">
      <c r="C2077" s="244"/>
      <c r="D2077" s="26"/>
      <c r="E2077" s="26"/>
      <c r="F2077" s="26"/>
      <c r="G2077" s="26"/>
      <c r="H2077" s="5"/>
    </row>
    <row r="2078" spans="3:8" ht="14.25" customHeight="1">
      <c r="C2078" s="244"/>
      <c r="D2078" s="26"/>
      <c r="E2078" s="26"/>
      <c r="F2078" s="26"/>
      <c r="G2078" s="26"/>
      <c r="H2078" s="5"/>
    </row>
    <row r="2079" spans="3:8" ht="14.25" customHeight="1">
      <c r="C2079" s="244"/>
      <c r="D2079" s="26"/>
      <c r="E2079" s="26"/>
      <c r="F2079" s="26"/>
      <c r="G2079" s="26"/>
      <c r="H2079" s="5"/>
    </row>
    <row r="2080" spans="3:8" ht="14.25" customHeight="1">
      <c r="C2080" s="244"/>
      <c r="D2080" s="26"/>
      <c r="E2080" s="26"/>
      <c r="F2080" s="26"/>
      <c r="G2080" s="26"/>
      <c r="H2080" s="5"/>
    </row>
    <row r="2081" spans="1:46" ht="14.25" customHeight="1">
      <c r="C2081" s="244"/>
      <c r="D2081" s="26"/>
      <c r="E2081" s="26"/>
      <c r="F2081" s="26"/>
      <c r="G2081" s="26"/>
      <c r="H2081" s="5"/>
    </row>
    <row r="2082" spans="1:46" ht="14.25" customHeight="1">
      <c r="C2082" s="244"/>
      <c r="D2082" s="26"/>
      <c r="E2082" s="26"/>
      <c r="F2082" s="26"/>
      <c r="G2082" s="26"/>
      <c r="H2082" s="5"/>
    </row>
    <row r="2083" spans="1:46" ht="14.25" customHeight="1">
      <c r="C2083" s="244"/>
      <c r="D2083" s="26"/>
      <c r="E2083" s="26"/>
      <c r="F2083" s="26"/>
      <c r="G2083" s="26"/>
      <c r="H2083" s="5"/>
    </row>
    <row r="2084" spans="1:46" ht="14.25" customHeight="1">
      <c r="C2084" s="244"/>
      <c r="D2084" s="26"/>
      <c r="E2084" s="26"/>
      <c r="F2084" s="26"/>
      <c r="G2084" s="26"/>
      <c r="H2084" s="5"/>
    </row>
    <row r="2085" spans="1:46" ht="14.25" customHeight="1">
      <c r="C2085" s="244"/>
      <c r="D2085" s="26"/>
      <c r="E2085" s="26"/>
      <c r="F2085" s="26"/>
      <c r="G2085" s="26"/>
      <c r="H2085" s="5"/>
    </row>
    <row r="2086" spans="1:46" ht="14.25" customHeight="1">
      <c r="C2086" s="244"/>
      <c r="D2086" s="26"/>
      <c r="E2086" s="26"/>
      <c r="F2086" s="26"/>
      <c r="G2086" s="26"/>
      <c r="H2086" s="5"/>
    </row>
    <row r="2087" spans="1:46" ht="14.25" customHeight="1">
      <c r="C2087" s="244"/>
      <c r="D2087" s="26"/>
      <c r="E2087" s="26"/>
      <c r="F2087" s="26"/>
      <c r="G2087" s="26"/>
      <c r="H2087" s="5"/>
    </row>
    <row r="2088" spans="1:46" ht="14.25" customHeight="1">
      <c r="C2088" s="244"/>
      <c r="D2088" s="26"/>
      <c r="E2088" s="26"/>
      <c r="F2088" s="26"/>
      <c r="G2088" s="26"/>
      <c r="H2088" s="5"/>
    </row>
    <row r="2089" spans="1:46" ht="14.25" customHeight="1">
      <c r="C2089" s="244"/>
      <c r="D2089" s="26"/>
      <c r="E2089" s="26"/>
      <c r="F2089" s="26"/>
      <c r="G2089" s="26"/>
      <c r="H2089" s="5"/>
    </row>
    <row r="2090" spans="1:46" ht="14.25" customHeight="1">
      <c r="C2090" s="244"/>
      <c r="D2090" s="26"/>
      <c r="E2090" s="26"/>
      <c r="F2090" s="26"/>
      <c r="G2090" s="26"/>
      <c r="H2090" s="5"/>
    </row>
    <row r="2091" spans="1:46" ht="14.25" customHeight="1">
      <c r="C2091" s="244"/>
      <c r="D2091" s="26"/>
      <c r="E2091" s="26"/>
      <c r="F2091" s="26"/>
      <c r="G2091" s="26"/>
      <c r="H2091" s="5"/>
    </row>
    <row r="2092" spans="1:46" ht="14.25" customHeight="1">
      <c r="C2092" s="244"/>
      <c r="D2092" s="26"/>
      <c r="E2092" s="26"/>
      <c r="F2092" s="26"/>
      <c r="G2092" s="26"/>
      <c r="H2092" s="5"/>
      <c r="AE2092" s="288">
        <f>AD2092/100*12+AD2092</f>
        <v>0</v>
      </c>
      <c r="AF2092" s="288" t="e">
        <f>AE2092/AD2092-1</f>
        <v>#DIV/0!</v>
      </c>
    </row>
    <row r="2093" spans="1:46" s="8" customFormat="1">
      <c r="B2093" s="1"/>
      <c r="C2093" s="244"/>
      <c r="D2093" s="26"/>
      <c r="E2093" s="26"/>
      <c r="F2093" s="26"/>
      <c r="G2093" s="26"/>
      <c r="H2093" s="5"/>
      <c r="I2093" s="1"/>
      <c r="J2093" s="1"/>
      <c r="K2093" s="1"/>
      <c r="AN2093" s="279"/>
      <c r="AO2093" s="279"/>
      <c r="AP2093" s="279"/>
      <c r="AQ2093" s="279"/>
      <c r="AR2093" s="279"/>
      <c r="AS2093" s="279"/>
      <c r="AT2093" s="279"/>
    </row>
    <row r="2094" spans="1:46" s="8" customFormat="1" ht="12.75" customHeight="1">
      <c r="B2094" s="559" t="str">
        <f>TITLE!C34</f>
        <v>Полотна: ДОБОРИ</v>
      </c>
      <c r="C2094" s="560"/>
      <c r="D2094" s="117"/>
      <c r="E2094" s="117"/>
      <c r="F2094" s="117"/>
      <c r="G2094" s="117"/>
      <c r="H2094" s="117"/>
      <c r="I2094" s="120"/>
      <c r="J2094" s="120"/>
      <c r="K2094" s="120"/>
      <c r="L2094" s="120"/>
      <c r="M2094" s="120"/>
      <c r="N2094" s="120"/>
      <c r="O2094" s="120"/>
      <c r="P2094" s="120"/>
      <c r="Q2094" s="120"/>
      <c r="R2094" s="120"/>
      <c r="S2094" s="544" t="str">
        <f>IF($C$1="ENG",CONCATENATE("up to: ",B2027),CONCATENATE("вгору до: ",B2027))</f>
        <v>вгору до: Полотна: ДОБОР LADA</v>
      </c>
      <c r="T2094" s="544"/>
      <c r="U2094" s="544"/>
      <c r="V2094" s="544"/>
      <c r="W2094" s="544"/>
      <c r="AN2094" s="279"/>
      <c r="AO2094" s="279"/>
      <c r="AP2094" s="279"/>
      <c r="AQ2094" s="279"/>
      <c r="AR2094" s="279"/>
      <c r="AS2094" s="279"/>
      <c r="AT2094" s="279"/>
    </row>
    <row r="2095" spans="1:46" ht="4.5" customHeight="1">
      <c r="A2095" s="8"/>
      <c r="B2095" s="146"/>
      <c r="C2095" s="423"/>
      <c r="D2095" s="9"/>
      <c r="E2095" s="9"/>
      <c r="F2095" s="10"/>
      <c r="G2095" s="10"/>
      <c r="H2095" s="10"/>
      <c r="I2095" s="8"/>
      <c r="J2095" s="8"/>
      <c r="K2095" s="8"/>
      <c r="L2095" s="8"/>
      <c r="M2095" s="11"/>
      <c r="P2095" s="8"/>
      <c r="Q2095" s="11"/>
    </row>
    <row r="2096" spans="1:46" ht="12.75" customHeight="1">
      <c r="A2096" s="8"/>
      <c r="B2096" s="556" t="str">
        <f>IF($C$1="ENG","model","модель")</f>
        <v>модель</v>
      </c>
      <c r="C2096" s="121" t="str">
        <f>IF($C$1="ENG","cover:","покриття:")</f>
        <v>покриття:</v>
      </c>
      <c r="D2096" s="538" t="str">
        <f>IF($C$1="ENG","SIMPL / V-CELL","SIMPL / V-CELL")</f>
        <v>SIMPL / V-CELL</v>
      </c>
      <c r="E2096" s="539"/>
      <c r="F2096" s="538" t="str">
        <f>IF($C$1="ENG","UNI-MAT","UNI-MAT")</f>
        <v>UNI-MAT</v>
      </c>
      <c r="G2096" s="539"/>
      <c r="H2096" s="538" t="str">
        <f>IF($C$1="ENG","RESIST","RESIST")</f>
        <v>RESIST</v>
      </c>
      <c r="I2096" s="539"/>
      <c r="J2096" s="46"/>
      <c r="K2096" s="46"/>
      <c r="L2096" s="8"/>
      <c r="M2096" s="11"/>
      <c r="P2096" s="8"/>
      <c r="Q2096" s="11"/>
    </row>
    <row r="2097" spans="1:41" ht="12.75" customHeight="1">
      <c r="A2097" s="8"/>
      <c r="B2097" s="557"/>
      <c r="C2097" s="122" t="str">
        <f>IF($C$1="ENG","filling:","заповнення:")</f>
        <v>заповнення:</v>
      </c>
      <c r="D2097" s="540" t="str">
        <f>IF($C$1="ENG","honeycomb core ","сотове заповнення")</f>
        <v>сотове заповнення</v>
      </c>
      <c r="E2097" s="541"/>
      <c r="F2097" s="540" t="str">
        <f>IF($C$1="ENG","honeycomb core ","сотове заповнення")</f>
        <v>сотове заповнення</v>
      </c>
      <c r="G2097" s="541"/>
      <c r="H2097" s="540" t="str">
        <f>IF($C$1="ENG","honeycomb core ","сотове заповнення")</f>
        <v>сотове заповнення</v>
      </c>
      <c r="I2097" s="541"/>
      <c r="J2097" s="145"/>
      <c r="K2097" s="145"/>
      <c r="L2097" s="8"/>
      <c r="M2097" s="11"/>
      <c r="P2097" s="8"/>
      <c r="Q2097" s="11"/>
      <c r="Z2097" s="383"/>
    </row>
    <row r="2098" spans="1:41" ht="12.75" customHeight="1">
      <c r="A2098" s="8"/>
      <c r="B2098" s="558"/>
      <c r="C2098" s="123" t="str">
        <f>IF($C$1="ENG","glazing:","скління:")</f>
        <v>скління:</v>
      </c>
      <c r="D2098" s="542" t="str">
        <f>IF($C$1="ENG","Satin (Б)","Сатин (Б)")</f>
        <v>Сатин (Б)</v>
      </c>
      <c r="E2098" s="543"/>
      <c r="F2098" s="542" t="str">
        <f>IF($C$1="ENG","Satin (Б)","Сатин (Б)")</f>
        <v>Сатин (Б)</v>
      </c>
      <c r="G2098" s="543"/>
      <c r="H2098" s="542" t="str">
        <f>IF($C$1="ENG","Satin (Б)","Сатин (Б)")</f>
        <v>Сатин (Б)</v>
      </c>
      <c r="I2098" s="543"/>
      <c r="J2098" s="47"/>
      <c r="K2098" s="130"/>
      <c r="L2098" s="103"/>
      <c r="M2098" s="20"/>
      <c r="N2098" s="103"/>
      <c r="O2098" s="20"/>
      <c r="P2098" s="103"/>
      <c r="Q2098" s="20"/>
      <c r="R2098" s="103"/>
      <c r="S2098" s="20"/>
      <c r="T2098" s="103"/>
      <c r="V2098" s="103"/>
      <c r="W2098" s="20"/>
      <c r="X2098" s="22"/>
      <c r="Y2098" s="22"/>
      <c r="Z2098" s="22"/>
      <c r="AA2098" s="22"/>
      <c r="AB2098" s="22"/>
      <c r="AD2098" s="296">
        <f>AD2099/AC2099-1</f>
        <v>0.1515151515151516</v>
      </c>
      <c r="AE2098" s="296">
        <f>AE2099/AD2099-1</f>
        <v>0.10902255639097747</v>
      </c>
    </row>
    <row r="2099" spans="1:41" ht="35.1" customHeight="1">
      <c r="A2099" s="8"/>
      <c r="B2099" s="13" t="s">
        <v>4</v>
      </c>
      <c r="C2099" s="14"/>
      <c r="D2099" s="53">
        <f>IF(AC2099="","",(1-$W$2)*(AC2099/1.2))</f>
        <v>1925</v>
      </c>
      <c r="E2099" s="85">
        <f>IF($W$5=0.2,D2099*1.2,D2099)/$W$4</f>
        <v>2310</v>
      </c>
      <c r="F2099" s="15">
        <f>IF(AD2099="","",(1-$W$2)*(AD2099/1.2))</f>
        <v>2216.666666666667</v>
      </c>
      <c r="G2099" s="64">
        <f>IF($W$5=0.2,F2099*1.2,F2099)/$W$4</f>
        <v>2660.0000000000005</v>
      </c>
      <c r="H2099" s="15">
        <f>IF(AE2099="","",(1-$W$2)*(AE2099/1.2))</f>
        <v>2458.3333333333335</v>
      </c>
      <c r="I2099" s="64">
        <f>IF($W$5=0.2,H2099*1.2,H2099)/$W$4</f>
        <v>2950</v>
      </c>
      <c r="J2099" s="28"/>
      <c r="K2099" s="59"/>
      <c r="L2099" s="103"/>
      <c r="M2099" s="20"/>
      <c r="N2099" s="103"/>
      <c r="O2099" s="20"/>
      <c r="P2099" s="103"/>
      <c r="Q2099" s="20"/>
      <c r="R2099" s="103"/>
      <c r="S2099" s="20"/>
      <c r="T2099" s="103"/>
      <c r="V2099" s="103"/>
      <c r="W2099" s="20"/>
      <c r="AC2099" s="331">
        <v>2310</v>
      </c>
      <c r="AD2099" s="331">
        <v>2660</v>
      </c>
      <c r="AE2099" s="331">
        <v>2950</v>
      </c>
      <c r="AF2099" s="288">
        <v>2310</v>
      </c>
      <c r="AG2099" s="288">
        <f>AF2099/AC2099-1</f>
        <v>0</v>
      </c>
      <c r="AH2099" s="288">
        <v>2660</v>
      </c>
      <c r="AI2099" s="288">
        <f>AH2099/AD2099-1</f>
        <v>0</v>
      </c>
      <c r="AJ2099" s="288">
        <v>2950</v>
      </c>
      <c r="AK2099" s="288">
        <f>AJ2099/AE2099-1</f>
        <v>0</v>
      </c>
      <c r="AL2099" s="288"/>
      <c r="AO2099" s="1"/>
    </row>
    <row r="2100" spans="1:41" ht="34.5" customHeight="1">
      <c r="B2100" s="23" t="s">
        <v>5</v>
      </c>
      <c r="C2100" s="24"/>
      <c r="D2100" s="25">
        <f>IF(AC2100="","",(1-$W$2)*(AC2100/1.2))</f>
        <v>3858.3333333333335</v>
      </c>
      <c r="E2100" s="69">
        <f>IF($W$5=0.2,D2100*1.2,D2100)/$W$4</f>
        <v>4630</v>
      </c>
      <c r="F2100" s="25">
        <f>IF(AD2100="","",(1-$W$2)*(AD2100/1.2))</f>
        <v>4291.666666666667</v>
      </c>
      <c r="G2100" s="69">
        <f>IF($W$5=0.2,F2100*1.2,F2100)/$W$4</f>
        <v>5150</v>
      </c>
      <c r="H2100" s="25">
        <f>IF(AE2100="","",(1-$W$2)*(AE2100/1.2))</f>
        <v>4433.3333333333339</v>
      </c>
      <c r="I2100" s="69">
        <f>IF($W$5=0.2,H2100*1.2,H2100)/$W$4</f>
        <v>5320.0000000000009</v>
      </c>
      <c r="J2100" s="28"/>
      <c r="K2100" s="142"/>
      <c r="L2100" s="8"/>
      <c r="P2100" s="8"/>
      <c r="AC2100" s="331">
        <v>4630</v>
      </c>
      <c r="AD2100" s="331">
        <v>5150</v>
      </c>
      <c r="AE2100" s="331">
        <v>5320</v>
      </c>
      <c r="AF2100" s="288">
        <v>4630</v>
      </c>
      <c r="AG2100" s="288">
        <f>AF2100/AC2100-1</f>
        <v>0</v>
      </c>
      <c r="AH2100" s="288">
        <v>5150</v>
      </c>
      <c r="AI2100" s="288">
        <f>AH2100/AD2100-1</f>
        <v>0</v>
      </c>
      <c r="AJ2100" s="288">
        <v>5320</v>
      </c>
      <c r="AK2100" s="288">
        <f>AJ2100/AE2100-1</f>
        <v>0</v>
      </c>
      <c r="AL2100" s="288"/>
      <c r="AN2100" s="1"/>
      <c r="AO2100" s="1"/>
    </row>
    <row r="2101" spans="1:41">
      <c r="C2101" s="244"/>
      <c r="D2101" s="26"/>
      <c r="E2101" s="57"/>
      <c r="F2101" s="10"/>
      <c r="G2101" s="10"/>
      <c r="H2101" s="10"/>
      <c r="I2101" s="142"/>
      <c r="J2101" s="48"/>
      <c r="K2101" s="48"/>
      <c r="L2101" s="8"/>
      <c r="P2101" s="8"/>
    </row>
    <row r="2102" spans="1:41" ht="12.75" customHeight="1">
      <c r="B2102" s="211" t="str">
        <f>IF($C$1="ENG","For additonal charge:","Послуги за додаткову плату:")</f>
        <v>Послуги за додаткову плату:</v>
      </c>
      <c r="C2102" s="419"/>
      <c r="D2102" s="212"/>
      <c r="E2102" s="213"/>
      <c r="F2102" s="39"/>
      <c r="G2102" s="39"/>
      <c r="H2102" s="10"/>
      <c r="I2102" s="83"/>
      <c r="J2102" s="8"/>
      <c r="K2102" s="8"/>
    </row>
    <row r="2103" spans="1:41" ht="4.5" customHeight="1">
      <c r="B2103" s="27"/>
      <c r="C2103" s="244"/>
      <c r="D2103" s="26"/>
      <c r="E2103" s="57"/>
      <c r="F2103" s="39"/>
      <c r="G2103" s="26"/>
      <c r="H2103" s="10"/>
      <c r="I2103" s="8"/>
      <c r="J2103" s="8"/>
      <c r="K2103" s="8"/>
    </row>
    <row r="2104" spans="1:41">
      <c r="B2104" s="561" t="str">
        <f>IF($C$1="ENG","third door hindge","третя завіса")</f>
        <v>третя завіса</v>
      </c>
      <c r="C2104" s="562"/>
      <c r="D2104" s="131">
        <f t="shared" ref="D2104:D2109" si="280">IF(AC2104="","",(1-$W$2)*(AC2104/1.2))</f>
        <v>66.666666666666671</v>
      </c>
      <c r="E2104" s="91">
        <f t="shared" ref="E2104:E2109" si="281">IF($W$5=0.2,D2104*1.2,D2104)/$W$4</f>
        <v>80</v>
      </c>
      <c r="F2104" s="39"/>
      <c r="G2104" s="26"/>
      <c r="H2104" s="10"/>
      <c r="I2104" s="8"/>
      <c r="J2104" s="8"/>
      <c r="K2104" s="8"/>
      <c r="AC2104" s="297">
        <v>80</v>
      </c>
      <c r="AD2104" s="288">
        <v>80</v>
      </c>
      <c r="AE2104" s="288">
        <f>AD2104/AC2104-1</f>
        <v>0</v>
      </c>
      <c r="AF2104" s="288"/>
      <c r="AG2104" s="288"/>
      <c r="AH2104" s="288"/>
      <c r="AI2104" s="288"/>
      <c r="AJ2104" s="288"/>
      <c r="AK2104" s="288"/>
      <c r="AL2104" s="288"/>
    </row>
    <row r="2105" spans="1:41">
      <c r="B2105" s="437" t="str">
        <f>IF($C$1="ENG","glazing Triplex mat / black","скло Триплекс матовий / чорний")</f>
        <v>скло Триплекс матовий / чорний</v>
      </c>
      <c r="C2105" s="438" t="str">
        <f>IF($C$1="ENG","mod.Б","мод.Б")</f>
        <v>мод.Б</v>
      </c>
      <c r="D2105" s="273">
        <f t="shared" si="280"/>
        <v>941.66666666666674</v>
      </c>
      <c r="E2105" s="92">
        <f t="shared" si="281"/>
        <v>1130</v>
      </c>
      <c r="F2105" s="39"/>
      <c r="G2105" s="26"/>
      <c r="I2105" s="19"/>
      <c r="J2105" s="11"/>
      <c r="K2105" s="19"/>
      <c r="AC2105" s="331">
        <v>1130</v>
      </c>
      <c r="AD2105" s="288">
        <v>1130</v>
      </c>
      <c r="AE2105" s="288">
        <f t="shared" ref="AE2105:AE2109" si="282">AD2105/AC2105-1</f>
        <v>0</v>
      </c>
      <c r="AF2105" s="288"/>
      <c r="AG2105" s="288"/>
      <c r="AH2105" s="288"/>
      <c r="AI2105" s="288"/>
      <c r="AJ2105" s="288"/>
      <c r="AK2105" s="288"/>
      <c r="AL2105" s="288"/>
    </row>
    <row r="2106" spans="1:41">
      <c r="B2106" s="437" t="str">
        <f>IF($C$1="ENG","glazing Graphite / Bronze","скло Графіт / Бронза")</f>
        <v>скло Графіт / Бронза</v>
      </c>
      <c r="C2106" s="438" t="str">
        <f>IF($C$1="ENG","mod.Б","мод.Б")</f>
        <v>мод.Б</v>
      </c>
      <c r="D2106" s="273">
        <f t="shared" si="280"/>
        <v>616.66666666666674</v>
      </c>
      <c r="E2106" s="92">
        <f t="shared" si="281"/>
        <v>740.00000000000011</v>
      </c>
      <c r="F2106" s="39"/>
      <c r="G2106" s="26"/>
      <c r="I2106" s="19"/>
      <c r="J2106" s="11"/>
      <c r="K2106" s="19"/>
      <c r="AC2106" s="331">
        <v>740</v>
      </c>
      <c r="AD2106" s="288">
        <v>740</v>
      </c>
      <c r="AE2106" s="288">
        <f t="shared" si="282"/>
        <v>0</v>
      </c>
      <c r="AF2106" s="288"/>
      <c r="AG2106" s="288"/>
      <c r="AH2106" s="288"/>
      <c r="AI2106" s="288"/>
      <c r="AJ2106" s="288"/>
      <c r="AK2106" s="288"/>
      <c r="AL2106" s="288"/>
    </row>
    <row r="2107" spans="1:41">
      <c r="B2107" s="554" t="str">
        <f>IF($C$1="ENG","door hindge Prestige (1 unit)","завіса Prestige (1 шт)")</f>
        <v>завіса Prestige (1 шт)</v>
      </c>
      <c r="C2107" s="555"/>
      <c r="D2107" s="134">
        <f t="shared" si="280"/>
        <v>216.66666666666669</v>
      </c>
      <c r="E2107" s="92">
        <f t="shared" si="281"/>
        <v>260</v>
      </c>
      <c r="F2107" s="39"/>
      <c r="G2107" s="26"/>
      <c r="AC2107" s="297">
        <v>260</v>
      </c>
      <c r="AD2107" s="288">
        <v>260</v>
      </c>
      <c r="AE2107" s="288">
        <f t="shared" si="282"/>
        <v>0</v>
      </c>
      <c r="AF2107" s="288"/>
      <c r="AG2107" s="288"/>
      <c r="AH2107" s="288"/>
      <c r="AI2107" s="288"/>
      <c r="AJ2107" s="288"/>
      <c r="AK2107" s="288"/>
      <c r="AL2107" s="288"/>
    </row>
    <row r="2108" spans="1:41">
      <c r="B2108" s="554" t="str">
        <f>IF($C$1="ENG","door hinge caps (1 set)","накладка на завіси (1 к-т)")</f>
        <v>накладка на завіси (1 к-т)</v>
      </c>
      <c r="C2108" s="555"/>
      <c r="D2108" s="134">
        <f t="shared" si="280"/>
        <v>66.666666666666671</v>
      </c>
      <c r="E2108" s="92">
        <f t="shared" si="281"/>
        <v>80</v>
      </c>
      <c r="F2108" s="26"/>
      <c r="G2108" s="26"/>
      <c r="AC2108" s="297">
        <v>80</v>
      </c>
      <c r="AD2108" s="288">
        <v>80</v>
      </c>
      <c r="AE2108" s="288">
        <f t="shared" si="282"/>
        <v>0</v>
      </c>
      <c r="AF2108" s="288"/>
      <c r="AG2108" s="288"/>
      <c r="AH2108" s="288"/>
      <c r="AI2108" s="288"/>
      <c r="AJ2108" s="288"/>
      <c r="AK2108" s="288"/>
      <c r="AL2108" s="288"/>
    </row>
    <row r="2109" spans="1:41" ht="12" customHeight="1">
      <c r="B2109" s="437" t="str">
        <f>IF($C$1="ENG","perforated chipboard","ДСП трубчасте")</f>
        <v>ДСП трубчасте</v>
      </c>
      <c r="C2109" s="438" t="str">
        <f>IF($C$1="ENG","mod.A","мод.A")</f>
        <v>мод.A</v>
      </c>
      <c r="D2109" s="133">
        <f t="shared" si="280"/>
        <v>775</v>
      </c>
      <c r="E2109" s="93">
        <f t="shared" si="281"/>
        <v>930</v>
      </c>
      <c r="F2109" s="26"/>
      <c r="G2109" s="26"/>
      <c r="AC2109" s="297">
        <v>930</v>
      </c>
      <c r="AD2109" s="288">
        <v>930</v>
      </c>
      <c r="AE2109" s="288">
        <f t="shared" si="282"/>
        <v>0</v>
      </c>
      <c r="AF2109" s="288"/>
      <c r="AG2109" s="288"/>
      <c r="AH2109" s="288"/>
      <c r="AI2109" s="288"/>
      <c r="AJ2109" s="288"/>
      <c r="AK2109" s="288"/>
      <c r="AL2109" s="288"/>
    </row>
    <row r="2110" spans="1:41" ht="14.25" customHeight="1">
      <c r="C2110" s="244"/>
      <c r="D2110" s="26"/>
      <c r="E2110" s="26"/>
      <c r="F2110" s="26"/>
      <c r="G2110" s="26"/>
      <c r="H2110" s="5"/>
      <c r="T2110" s="536" t="str">
        <f>IF($C$1="ENG",CONCATENATE("down to: ",B2160),CONCATENATE("вниз до: ",B2160))</f>
        <v>вниз до: Розсувна система Verto-SLIDE</v>
      </c>
      <c r="U2110" s="536"/>
      <c r="V2110" s="536"/>
      <c r="W2110" s="536"/>
    </row>
    <row r="2111" spans="1:41" ht="14.25" customHeight="1">
      <c r="C2111" s="244"/>
      <c r="D2111" s="26"/>
      <c r="E2111" s="26"/>
      <c r="F2111" s="26"/>
      <c r="G2111" s="26"/>
      <c r="H2111" s="5"/>
    </row>
    <row r="2112" spans="1:41" ht="14.25" customHeight="1">
      <c r="C2112" s="244"/>
      <c r="D2112" s="26"/>
      <c r="E2112" s="26"/>
      <c r="F2112" s="26"/>
      <c r="G2112" s="26"/>
      <c r="H2112" s="5"/>
    </row>
    <row r="2113" spans="3:8" ht="14.25" customHeight="1">
      <c r="C2113" s="244"/>
      <c r="D2113" s="26"/>
      <c r="E2113" s="26"/>
      <c r="F2113" s="26"/>
      <c r="G2113" s="26"/>
      <c r="H2113" s="5"/>
    </row>
    <row r="2114" spans="3:8" ht="14.25" customHeight="1">
      <c r="C2114" s="244"/>
      <c r="D2114" s="26"/>
      <c r="E2114" s="26"/>
      <c r="F2114" s="26"/>
      <c r="G2114" s="26"/>
      <c r="H2114" s="5"/>
    </row>
    <row r="2115" spans="3:8" ht="14.25" customHeight="1">
      <c r="C2115" s="244"/>
      <c r="D2115" s="26"/>
      <c r="E2115" s="26"/>
      <c r="F2115" s="26"/>
      <c r="G2115" s="26"/>
      <c r="H2115" s="5"/>
    </row>
    <row r="2116" spans="3:8" ht="14.25" customHeight="1">
      <c r="C2116" s="244"/>
      <c r="D2116" s="26"/>
      <c r="E2116" s="26"/>
      <c r="F2116" s="26"/>
      <c r="G2116" s="26"/>
      <c r="H2116" s="5"/>
    </row>
    <row r="2117" spans="3:8" ht="14.25" customHeight="1">
      <c r="C2117" s="244"/>
      <c r="D2117" s="26"/>
      <c r="E2117" s="26"/>
      <c r="F2117" s="26"/>
      <c r="G2117" s="26"/>
      <c r="H2117" s="5"/>
    </row>
    <row r="2118" spans="3:8" ht="14.25" customHeight="1">
      <c r="C2118" s="244"/>
      <c r="D2118" s="26"/>
      <c r="E2118" s="26"/>
      <c r="F2118" s="26"/>
      <c r="G2118" s="26"/>
      <c r="H2118" s="5"/>
    </row>
    <row r="2119" spans="3:8" ht="14.25" customHeight="1">
      <c r="C2119" s="244"/>
      <c r="D2119" s="26"/>
      <c r="E2119" s="26"/>
      <c r="F2119" s="26"/>
      <c r="G2119" s="26"/>
      <c r="H2119" s="5"/>
    </row>
    <row r="2120" spans="3:8" ht="14.25" customHeight="1">
      <c r="C2120" s="244"/>
      <c r="D2120" s="26"/>
      <c r="E2120" s="26"/>
      <c r="F2120" s="26"/>
      <c r="G2120" s="26"/>
      <c r="H2120" s="5"/>
    </row>
    <row r="2121" spans="3:8" ht="14.25" customHeight="1">
      <c r="C2121" s="244"/>
      <c r="D2121" s="26"/>
      <c r="E2121" s="26"/>
      <c r="F2121" s="26"/>
      <c r="G2121" s="26"/>
      <c r="H2121" s="5"/>
    </row>
    <row r="2122" spans="3:8" ht="14.25" customHeight="1">
      <c r="C2122" s="244"/>
      <c r="D2122" s="26"/>
      <c r="E2122" s="26"/>
      <c r="F2122" s="26"/>
      <c r="G2122" s="26"/>
      <c r="H2122" s="5"/>
    </row>
    <row r="2123" spans="3:8" ht="14.25" customHeight="1">
      <c r="C2123" s="244"/>
      <c r="D2123" s="26"/>
      <c r="E2123" s="26"/>
      <c r="F2123" s="26"/>
      <c r="G2123" s="26"/>
      <c r="H2123" s="5"/>
    </row>
    <row r="2124" spans="3:8" ht="14.25" customHeight="1">
      <c r="C2124" s="244"/>
      <c r="D2124" s="26"/>
      <c r="E2124" s="26"/>
      <c r="F2124" s="26"/>
      <c r="G2124" s="26"/>
      <c r="H2124" s="5"/>
    </row>
    <row r="2125" spans="3:8" ht="14.25" customHeight="1">
      <c r="C2125" s="244"/>
      <c r="D2125" s="26"/>
      <c r="E2125" s="26"/>
      <c r="F2125" s="26"/>
      <c r="G2125" s="26"/>
      <c r="H2125" s="5"/>
    </row>
    <row r="2126" spans="3:8" ht="14.25" customHeight="1">
      <c r="C2126" s="244"/>
      <c r="D2126" s="26"/>
      <c r="E2126" s="26"/>
      <c r="F2126" s="26"/>
      <c r="G2126" s="26"/>
      <c r="H2126" s="5"/>
    </row>
    <row r="2127" spans="3:8" ht="14.25" customHeight="1">
      <c r="C2127" s="244"/>
      <c r="D2127" s="26"/>
      <c r="E2127" s="26"/>
      <c r="F2127" s="26"/>
      <c r="G2127" s="26"/>
      <c r="H2127" s="5"/>
    </row>
    <row r="2128" spans="3:8" ht="14.25" customHeight="1">
      <c r="C2128" s="244"/>
      <c r="D2128" s="26"/>
      <c r="E2128" s="26"/>
      <c r="F2128" s="26"/>
      <c r="G2128" s="26"/>
      <c r="H2128" s="5"/>
    </row>
    <row r="2129" spans="3:8" ht="14.25" customHeight="1">
      <c r="C2129" s="244"/>
      <c r="D2129" s="26"/>
      <c r="E2129" s="26"/>
      <c r="F2129" s="26"/>
      <c r="G2129" s="26"/>
      <c r="H2129" s="5"/>
    </row>
    <row r="2130" spans="3:8" ht="14.25" customHeight="1">
      <c r="C2130" s="244"/>
      <c r="D2130" s="26"/>
      <c r="E2130" s="26"/>
      <c r="F2130" s="26"/>
      <c r="G2130" s="26"/>
      <c r="H2130" s="5"/>
    </row>
    <row r="2131" spans="3:8" ht="14.25" customHeight="1">
      <c r="C2131" s="244"/>
      <c r="D2131" s="26"/>
      <c r="E2131" s="26"/>
      <c r="F2131" s="26"/>
      <c r="G2131" s="26"/>
      <c r="H2131" s="5"/>
    </row>
    <row r="2132" spans="3:8" ht="14.25" customHeight="1">
      <c r="C2132" s="244"/>
      <c r="D2132" s="26"/>
      <c r="E2132" s="26"/>
      <c r="F2132" s="26"/>
      <c r="G2132" s="26"/>
      <c r="H2132" s="5"/>
    </row>
    <row r="2133" spans="3:8" ht="14.25" customHeight="1">
      <c r="C2133" s="244"/>
      <c r="D2133" s="26"/>
      <c r="E2133" s="26"/>
      <c r="F2133" s="26"/>
      <c r="G2133" s="26"/>
      <c r="H2133" s="5"/>
    </row>
    <row r="2134" spans="3:8" ht="14.25" customHeight="1">
      <c r="C2134" s="244"/>
      <c r="D2134" s="26"/>
      <c r="E2134" s="26"/>
      <c r="F2134" s="26"/>
      <c r="G2134" s="26"/>
      <c r="H2134" s="5"/>
    </row>
    <row r="2135" spans="3:8" ht="14.25" customHeight="1">
      <c r="C2135" s="244"/>
      <c r="D2135" s="26"/>
      <c r="E2135" s="26"/>
      <c r="F2135" s="26"/>
      <c r="G2135" s="26"/>
      <c r="H2135" s="5"/>
    </row>
    <row r="2136" spans="3:8" ht="14.25" customHeight="1">
      <c r="C2136" s="244"/>
      <c r="D2136" s="26"/>
      <c r="E2136" s="26"/>
      <c r="F2136" s="26"/>
      <c r="G2136" s="26"/>
      <c r="H2136" s="5"/>
    </row>
    <row r="2137" spans="3:8" ht="14.25" customHeight="1">
      <c r="C2137" s="244"/>
      <c r="D2137" s="26"/>
      <c r="E2137" s="26"/>
      <c r="F2137" s="26"/>
      <c r="G2137" s="26"/>
      <c r="H2137" s="5"/>
    </row>
    <row r="2138" spans="3:8" ht="14.25" customHeight="1">
      <c r="C2138" s="244"/>
      <c r="D2138" s="26"/>
      <c r="E2138" s="26"/>
      <c r="F2138" s="26"/>
      <c r="G2138" s="26"/>
      <c r="H2138" s="5"/>
    </row>
    <row r="2139" spans="3:8" ht="14.25" customHeight="1">
      <c r="C2139" s="244"/>
      <c r="D2139" s="26"/>
      <c r="E2139" s="26"/>
      <c r="F2139" s="26"/>
      <c r="G2139" s="26"/>
      <c r="H2139" s="5"/>
    </row>
    <row r="2140" spans="3:8" ht="14.25" customHeight="1">
      <c r="C2140" s="244"/>
      <c r="D2140" s="26"/>
      <c r="E2140" s="26"/>
      <c r="F2140" s="26"/>
      <c r="G2140" s="26"/>
      <c r="H2140" s="5"/>
    </row>
    <row r="2141" spans="3:8" ht="14.25" customHeight="1">
      <c r="C2141" s="244"/>
      <c r="D2141" s="26"/>
      <c r="E2141" s="26"/>
      <c r="F2141" s="26"/>
      <c r="G2141" s="26"/>
      <c r="H2141" s="5"/>
    </row>
    <row r="2142" spans="3:8" ht="14.25" customHeight="1">
      <c r="C2142" s="244"/>
      <c r="D2142" s="26"/>
      <c r="E2142" s="26"/>
      <c r="F2142" s="26"/>
      <c r="G2142" s="26"/>
      <c r="H2142" s="5"/>
    </row>
    <row r="2143" spans="3:8" ht="14.25" customHeight="1">
      <c r="C2143" s="244"/>
      <c r="D2143" s="26"/>
      <c r="E2143" s="26"/>
      <c r="F2143" s="26"/>
      <c r="G2143" s="26"/>
      <c r="H2143" s="5"/>
    </row>
    <row r="2144" spans="3:8" ht="14.25" customHeight="1">
      <c r="C2144" s="244"/>
      <c r="D2144" s="26"/>
      <c r="E2144" s="26"/>
      <c r="F2144" s="26"/>
      <c r="G2144" s="26"/>
      <c r="H2144" s="5"/>
    </row>
    <row r="2145" spans="2:46" ht="14.25" customHeight="1">
      <c r="C2145" s="244"/>
      <c r="D2145" s="26"/>
      <c r="E2145" s="26"/>
      <c r="F2145" s="26"/>
      <c r="G2145" s="26"/>
      <c r="H2145" s="5"/>
    </row>
    <row r="2146" spans="2:46" ht="14.25" customHeight="1">
      <c r="C2146" s="244"/>
      <c r="D2146" s="26"/>
      <c r="E2146" s="26"/>
      <c r="F2146" s="26"/>
      <c r="G2146" s="26"/>
      <c r="H2146" s="5"/>
    </row>
    <row r="2147" spans="2:46" ht="14.25" customHeight="1">
      <c r="C2147" s="244"/>
      <c r="D2147" s="26"/>
      <c r="E2147" s="26"/>
      <c r="F2147" s="26"/>
      <c r="G2147" s="26"/>
      <c r="H2147" s="5"/>
    </row>
    <row r="2148" spans="2:46" ht="14.25" customHeight="1">
      <c r="C2148" s="244"/>
      <c r="D2148" s="26"/>
      <c r="E2148" s="26"/>
      <c r="F2148" s="26"/>
      <c r="G2148" s="26"/>
      <c r="H2148" s="5"/>
    </row>
    <row r="2149" spans="2:46" ht="14.25" customHeight="1">
      <c r="C2149" s="244"/>
      <c r="D2149" s="26"/>
      <c r="E2149" s="26"/>
      <c r="F2149" s="26"/>
      <c r="G2149" s="26"/>
      <c r="H2149" s="5"/>
    </row>
    <row r="2150" spans="2:46" ht="14.25" customHeight="1">
      <c r="C2150" s="244"/>
      <c r="D2150" s="26"/>
      <c r="E2150" s="26"/>
      <c r="F2150" s="26"/>
      <c r="G2150" s="26"/>
      <c r="H2150" s="5"/>
    </row>
    <row r="2151" spans="2:46" ht="14.25" customHeight="1">
      <c r="C2151" s="244"/>
      <c r="D2151" s="26"/>
      <c r="E2151" s="26"/>
      <c r="F2151" s="26"/>
      <c r="G2151" s="26"/>
      <c r="H2151" s="5"/>
    </row>
    <row r="2152" spans="2:46" ht="14.25" customHeight="1">
      <c r="C2152" s="244"/>
      <c r="D2152" s="26"/>
      <c r="E2152" s="26"/>
      <c r="F2152" s="26"/>
      <c r="G2152" s="26"/>
      <c r="H2152" s="5"/>
    </row>
    <row r="2153" spans="2:46" ht="14.25" customHeight="1">
      <c r="C2153" s="244"/>
      <c r="D2153" s="26"/>
      <c r="E2153" s="26"/>
      <c r="F2153" s="26"/>
      <c r="G2153" s="26"/>
      <c r="H2153" s="5"/>
      <c r="O2153" s="38"/>
      <c r="S2153" s="38"/>
      <c r="T2153" s="38"/>
      <c r="U2153" s="38"/>
      <c r="V2153" s="38"/>
      <c r="W2153" s="38"/>
    </row>
    <row r="2154" spans="2:46" ht="14.25" customHeight="1">
      <c r="C2154" s="244"/>
      <c r="D2154" s="26"/>
      <c r="E2154" s="26"/>
      <c r="F2154" s="26"/>
      <c r="G2154" s="26"/>
      <c r="H2154" s="5"/>
      <c r="O2154" s="48"/>
      <c r="S2154" s="48"/>
      <c r="T2154" s="48"/>
      <c r="U2154" s="48"/>
      <c r="V2154" s="48"/>
      <c r="W2154" s="48"/>
    </row>
    <row r="2155" spans="2:46" ht="14.25" customHeight="1">
      <c r="C2155" s="244"/>
      <c r="D2155" s="26"/>
      <c r="E2155" s="26"/>
      <c r="F2155" s="26"/>
      <c r="G2155" s="26"/>
      <c r="H2155" s="5"/>
      <c r="O2155" s="148"/>
      <c r="S2155" s="148"/>
      <c r="T2155" s="148"/>
      <c r="U2155" s="148"/>
      <c r="V2155" s="148"/>
      <c r="W2155" s="148"/>
    </row>
    <row r="2156" spans="2:46" ht="14.25" customHeight="1">
      <c r="C2156" s="244"/>
      <c r="D2156" s="26"/>
      <c r="E2156" s="26"/>
      <c r="F2156" s="26"/>
      <c r="G2156" s="26"/>
      <c r="H2156" s="5"/>
      <c r="O2156" s="38"/>
      <c r="S2156" s="38"/>
      <c r="T2156" s="38"/>
      <c r="U2156" s="38"/>
      <c r="V2156" s="38"/>
      <c r="W2156" s="38"/>
    </row>
    <row r="2157" spans="2:46" ht="14.25" customHeight="1">
      <c r="C2157" s="244"/>
      <c r="D2157" s="26"/>
      <c r="E2157" s="26"/>
      <c r="F2157" s="26"/>
      <c r="G2157" s="26"/>
      <c r="H2157" s="26"/>
      <c r="J2157" s="26"/>
    </row>
    <row r="2158" spans="2:46" ht="14.25" customHeight="1">
      <c r="C2158" s="244"/>
      <c r="D2158" s="26"/>
      <c r="E2158" s="26"/>
      <c r="F2158" s="26"/>
      <c r="G2158" s="26"/>
      <c r="H2158" s="5"/>
    </row>
    <row r="2159" spans="2:46" s="8" customFormat="1">
      <c r="B2159" s="1"/>
      <c r="C2159" s="244"/>
      <c r="D2159" s="26"/>
      <c r="E2159" s="26"/>
      <c r="F2159" s="26"/>
      <c r="G2159" s="26"/>
      <c r="H2159" s="5"/>
      <c r="I2159" s="1"/>
      <c r="J2159" s="1"/>
      <c r="K2159" s="1"/>
      <c r="AN2159" s="279"/>
      <c r="AO2159" s="279"/>
      <c r="AP2159" s="279"/>
      <c r="AQ2159" s="279"/>
      <c r="AR2159" s="279"/>
      <c r="AS2159" s="279"/>
      <c r="AT2159" s="279"/>
    </row>
    <row r="2160" spans="2:46" s="8" customFormat="1" ht="12.75" customHeight="1">
      <c r="B2160" s="549" t="str">
        <f>TITLE!$C$37</f>
        <v>Розсувна система Verto-SLIDE</v>
      </c>
      <c r="C2160" s="550"/>
      <c r="D2160" s="117"/>
      <c r="E2160" s="117"/>
      <c r="F2160" s="117"/>
      <c r="G2160" s="117"/>
      <c r="H2160" s="552"/>
      <c r="I2160" s="552"/>
      <c r="J2160" s="120"/>
      <c r="K2160" s="120"/>
      <c r="L2160" s="120"/>
      <c r="M2160" s="120"/>
      <c r="N2160" s="120"/>
      <c r="O2160" s="120"/>
      <c r="P2160" s="120"/>
      <c r="Q2160" s="120"/>
      <c r="R2160" s="120"/>
      <c r="S2160" s="120"/>
      <c r="T2160" s="544" t="str">
        <f>IF($C$1="ENG",CONCATENATE("up to: ",B2094),CONCATENATE("вгору до: ",B2094))</f>
        <v>вгору до: Полотна: ДОБОРИ</v>
      </c>
      <c r="U2160" s="544"/>
      <c r="V2160" s="544"/>
      <c r="W2160" s="544"/>
      <c r="AN2160" s="279"/>
      <c r="AO2160" s="279"/>
      <c r="AP2160" s="279"/>
      <c r="AQ2160" s="279"/>
      <c r="AR2160" s="279"/>
      <c r="AS2160" s="279"/>
      <c r="AT2160" s="279"/>
    </row>
    <row r="2161" spans="1:43" ht="4.5" customHeight="1">
      <c r="A2161" s="8"/>
      <c r="B2161" s="147"/>
      <c r="C2161" s="418"/>
      <c r="D2161" s="9"/>
      <c r="E2161" s="9"/>
      <c r="F2161" s="10"/>
      <c r="G2161" s="10"/>
      <c r="H2161" s="119"/>
      <c r="I2161" s="119"/>
      <c r="J2161" s="8"/>
      <c r="K2161" s="8"/>
      <c r="L2161" s="47"/>
      <c r="M2161" s="47"/>
      <c r="N2161" s="46"/>
      <c r="O2161" s="46"/>
      <c r="P2161" s="47"/>
      <c r="Q2161" s="47"/>
      <c r="R2161" s="46"/>
      <c r="S2161" s="46"/>
      <c r="T2161" s="48"/>
    </row>
    <row r="2162" spans="1:43" ht="12.75" customHeight="1">
      <c r="A2162" s="8"/>
      <c r="B2162" s="556" t="str">
        <f>IF($C$1="ENG","(without door)","(без полотна)")</f>
        <v>(без полотна)</v>
      </c>
      <c r="C2162" s="121" t="str">
        <f>IF($C$1="ENG","cover:","покриття:")</f>
        <v>покриття:</v>
      </c>
      <c r="D2162" s="538" t="str">
        <f>IF($C$1="ENG","SIMPL / V-CELL","SIMPL / V-CELL")</f>
        <v>SIMPL / V-CELL</v>
      </c>
      <c r="E2162" s="539"/>
      <c r="F2162" s="538" t="str">
        <f>IF($C$1="ENG","UNI-MAT","UNI-MAT")</f>
        <v>UNI-MAT</v>
      </c>
      <c r="G2162" s="539"/>
      <c r="H2162" s="538" t="str">
        <f>IF($C$1="ENG","RESIST","RESIST")</f>
        <v>RESIST</v>
      </c>
      <c r="I2162" s="539"/>
      <c r="J2162" s="538" t="str">
        <f>IF($C$1="ENG","Verto LINE-3D","Verto LINE-3D")</f>
        <v>Verto LINE-3D</v>
      </c>
      <c r="K2162" s="539"/>
      <c r="L2162" s="538" t="str">
        <f>IF($C$1="ENG","ECO Shpon / LOFT ","ЕКО Шпон / ЛОФТ")</f>
        <v>ЕКО Шпон / ЛОФТ</v>
      </c>
      <c r="M2162" s="539"/>
      <c r="N2162" s="46"/>
      <c r="O2162" s="46"/>
      <c r="R2162" s="46"/>
      <c r="S2162" s="46"/>
      <c r="T2162" s="48"/>
      <c r="AD2162" s="382">
        <f>AD2164/AC2164-1</f>
        <v>3.7037037037036979E-2</v>
      </c>
      <c r="AE2162" s="382">
        <f>AE2164/AD2164-1</f>
        <v>2.8061224489795977E-2</v>
      </c>
      <c r="AF2162" s="382">
        <f>AF2164/AE2164-1</f>
        <v>8.4367245657568146E-2</v>
      </c>
      <c r="AG2162" s="382">
        <f>AG2164/AF2164-1</f>
        <v>5.720823798626995E-2</v>
      </c>
    </row>
    <row r="2163" spans="1:43" ht="12.75" customHeight="1">
      <c r="A2163" s="8"/>
      <c r="B2163" s="558"/>
      <c r="C2163" s="123" t="str">
        <f>IF($C$1="ENG","type:","виконання:")</f>
        <v>виконання:</v>
      </c>
      <c r="D2163" s="542" t="str">
        <f>IF($C$1="ENG","single leaf","одностулкове")</f>
        <v>одностулкове</v>
      </c>
      <c r="E2163" s="543"/>
      <c r="F2163" s="542" t="str">
        <f>IF($C$1="ENG","single leaf","одностулкове")</f>
        <v>одностулкове</v>
      </c>
      <c r="G2163" s="543"/>
      <c r="H2163" s="542" t="str">
        <f>IF($C$1="ENG","single leaf","одностулкове")</f>
        <v>одностулкове</v>
      </c>
      <c r="I2163" s="543"/>
      <c r="J2163" s="542" t="str">
        <f>IF($C$1="ENG","single leaf","одностулкове")</f>
        <v>одностулкове</v>
      </c>
      <c r="K2163" s="543"/>
      <c r="L2163" s="542" t="str">
        <f>IF($C$1="ENG","single leaf","одностулкове")</f>
        <v>одностулкове</v>
      </c>
      <c r="M2163" s="543"/>
      <c r="N2163" s="28"/>
      <c r="O2163" s="29"/>
      <c r="R2163" s="28"/>
      <c r="S2163" s="29"/>
      <c r="T2163" s="52"/>
      <c r="U2163" s="29"/>
      <c r="W2163" s="29"/>
      <c r="X2163" s="22"/>
      <c r="Y2163" s="22"/>
      <c r="Z2163" s="22"/>
      <c r="AA2163" s="22"/>
      <c r="AB2163" s="22"/>
    </row>
    <row r="2164" spans="1:43" ht="34.5" customHeight="1">
      <c r="B2164" s="149" t="str">
        <f>IF($C$1="ENG","Sliding system","Розсувна система")</f>
        <v>Розсувна система</v>
      </c>
      <c r="C2164" s="328"/>
      <c r="D2164" s="51">
        <f>IF(AC2164="","",(1-$W$2)*(AC2164/1.2))</f>
        <v>3150</v>
      </c>
      <c r="E2164" s="84">
        <f>IF($W$5=0.2,D2164*1.2,D2164)/$W$4</f>
        <v>3780</v>
      </c>
      <c r="F2164" s="51">
        <f>IF(AD2164="","",(1-$W$2)*(AD2164/1.2))</f>
        <v>3266.666666666667</v>
      </c>
      <c r="G2164" s="84">
        <f>IF($W$5=0.2,F2164*1.2,F2164)/$W$4</f>
        <v>3920</v>
      </c>
      <c r="H2164" s="51">
        <f>IF(AE2164="","",(1-$W$2)*(AE2164/1.2))</f>
        <v>3358.3333333333335</v>
      </c>
      <c r="I2164" s="84">
        <f>IF($W$5=0.2,H2164*1.2,H2164)/$W$4</f>
        <v>4030</v>
      </c>
      <c r="J2164" s="51">
        <f>IF(AF2164="","",(1-$W$2)*(AF2164/1.2))</f>
        <v>3641.666666666667</v>
      </c>
      <c r="K2164" s="84">
        <f>IF($W$5=0.2,J2164*1.2,J2164)/$W$4</f>
        <v>4370</v>
      </c>
      <c r="L2164" s="51">
        <f>IF(AG2164="","",(1-$W$2)*(AG2164/1.2))</f>
        <v>3850</v>
      </c>
      <c r="M2164" s="84">
        <f>IF($W$5=0.2,L2164*1.2,L2164)/$W$4</f>
        <v>4620</v>
      </c>
      <c r="AC2164" s="331">
        <v>3780</v>
      </c>
      <c r="AD2164" s="331">
        <v>3920</v>
      </c>
      <c r="AE2164" s="331">
        <v>4030</v>
      </c>
      <c r="AF2164" s="331">
        <v>4370</v>
      </c>
      <c r="AG2164" s="331">
        <v>4620</v>
      </c>
      <c r="AH2164" s="288">
        <v>3780</v>
      </c>
      <c r="AI2164" s="288">
        <f>AH2164/AC2164-1</f>
        <v>0</v>
      </c>
      <c r="AJ2164" s="288">
        <v>3920</v>
      </c>
      <c r="AK2164" s="288">
        <f>AJ2164/AD2164-1</f>
        <v>0</v>
      </c>
      <c r="AL2164" s="288">
        <v>4030</v>
      </c>
      <c r="AM2164" s="288">
        <f>AL2164/AE2164-1</f>
        <v>0</v>
      </c>
      <c r="AN2164" s="288">
        <v>4370</v>
      </c>
      <c r="AO2164" s="288">
        <f>AN2164/AF2164-1</f>
        <v>0</v>
      </c>
      <c r="AP2164" s="288">
        <v>4620</v>
      </c>
      <c r="AQ2164" s="288">
        <f>AP2164/AG2164-1</f>
        <v>0</v>
      </c>
    </row>
    <row r="2165" spans="1:43">
      <c r="C2165" s="244"/>
      <c r="D2165" s="26"/>
      <c r="E2165" s="26"/>
      <c r="F2165" s="26"/>
      <c r="G2165" s="26"/>
      <c r="H2165" s="5"/>
      <c r="L2165" s="8"/>
    </row>
    <row r="2166" spans="1:43" ht="12.75" customHeight="1">
      <c r="B2166" s="211" t="str">
        <f>IF($C$1="ENG","For additonal charge:","Послуги за додаткову плату:")</f>
        <v>Послуги за додаткову плату:</v>
      </c>
      <c r="C2166" s="419"/>
      <c r="D2166" s="212"/>
      <c r="E2166" s="213"/>
      <c r="F2166" s="39"/>
      <c r="G2166" s="39"/>
      <c r="H2166" s="10"/>
      <c r="I2166" s="8"/>
      <c r="J2166" s="8"/>
      <c r="K2166" s="8"/>
    </row>
    <row r="2167" spans="1:43" ht="4.5" customHeight="1">
      <c r="B2167" s="27"/>
      <c r="C2167" s="244"/>
      <c r="D2167" s="26"/>
      <c r="E2167" s="57"/>
      <c r="F2167" s="26"/>
      <c r="G2167" s="26"/>
      <c r="H2167" s="10"/>
      <c r="I2167" s="8"/>
      <c r="J2167" s="8"/>
      <c r="K2167" s="8"/>
    </row>
    <row r="2168" spans="1:43" ht="14.25" customHeight="1">
      <c r="B2168" s="568" t="str">
        <f>IF($C$1="ENG","Door lock hatch","відповідна планка замка")</f>
        <v>відповідна планка замка</v>
      </c>
      <c r="C2168" s="569"/>
      <c r="D2168" s="51">
        <f>IF(AC2168="","",(1-$W$2)*(AC2168/1.2))</f>
        <v>91.666666666666671</v>
      </c>
      <c r="E2168" s="84">
        <f>IF($W$5=0.2,D2168*1.2,D2168)/$W$4</f>
        <v>110</v>
      </c>
      <c r="F2168" s="26"/>
      <c r="G2168" s="26"/>
      <c r="H2168" s="10"/>
      <c r="I2168" s="83"/>
      <c r="J2168" s="8"/>
      <c r="K2168" s="8"/>
      <c r="AC2168" s="297">
        <v>110</v>
      </c>
      <c r="AD2168" s="288"/>
      <c r="AE2168" s="288"/>
      <c r="AF2168" s="288"/>
      <c r="AG2168" s="288"/>
      <c r="AH2168" s="288"/>
      <c r="AI2168" s="288"/>
      <c r="AJ2168" s="288"/>
      <c r="AK2168" s="288"/>
      <c r="AL2168" s="288"/>
    </row>
    <row r="2169" spans="1:43" ht="14.25" customHeight="1">
      <c r="B2169" s="94"/>
      <c r="C2169" s="94"/>
      <c r="D2169" s="95"/>
      <c r="E2169" s="59"/>
      <c r="F2169" s="26"/>
      <c r="G2169" s="26"/>
      <c r="I2169" s="11"/>
      <c r="J2169" s="11"/>
      <c r="K2169" s="19"/>
      <c r="T2169" s="573" t="str">
        <f>IF($C$1="ENG",CONCATENATE("down to: ",B2219),CONCATENATE("вниз до: ",B2219))</f>
        <v>вниз до: Дверна коробка STANDARD</v>
      </c>
      <c r="U2169" s="573"/>
      <c r="V2169" s="573"/>
      <c r="W2169" s="573"/>
    </row>
    <row r="2170" spans="1:43" ht="14.25" customHeight="1">
      <c r="C2170" s="244"/>
      <c r="D2170" s="26"/>
      <c r="E2170" s="26"/>
      <c r="F2170" s="26"/>
      <c r="G2170" s="26"/>
      <c r="H2170" s="5"/>
      <c r="I2170" s="26"/>
    </row>
    <row r="2171" spans="1:43" ht="14.25" customHeight="1">
      <c r="C2171" s="244"/>
      <c r="D2171" s="26"/>
      <c r="E2171" s="26"/>
      <c r="F2171" s="26"/>
      <c r="G2171" s="57"/>
      <c r="H2171" s="5"/>
      <c r="I2171" s="26"/>
    </row>
    <row r="2172" spans="1:43" ht="14.25" customHeight="1">
      <c r="C2172" s="244"/>
      <c r="D2172" s="26"/>
      <c r="E2172" s="26"/>
      <c r="F2172" s="26"/>
      <c r="G2172" s="26"/>
      <c r="H2172" s="5"/>
      <c r="I2172" s="26"/>
    </row>
    <row r="2173" spans="1:43" ht="14.25" customHeight="1">
      <c r="C2173" s="244"/>
      <c r="D2173" s="26"/>
      <c r="E2173" s="26"/>
      <c r="F2173" s="26"/>
      <c r="G2173" s="26"/>
      <c r="H2173" s="5"/>
      <c r="I2173" s="57"/>
    </row>
    <row r="2174" spans="1:43" ht="14.25" customHeight="1">
      <c r="C2174" s="244"/>
      <c r="D2174" s="26"/>
      <c r="E2174" s="26"/>
      <c r="F2174" s="26"/>
      <c r="G2174" s="26"/>
      <c r="H2174" s="5"/>
      <c r="I2174" s="26"/>
    </row>
    <row r="2175" spans="1:43" ht="14.25" customHeight="1">
      <c r="C2175" s="244"/>
      <c r="D2175" s="26"/>
      <c r="E2175" s="26"/>
      <c r="F2175" s="26"/>
      <c r="G2175" s="26"/>
      <c r="H2175" s="5"/>
      <c r="I2175" s="26"/>
    </row>
    <row r="2176" spans="1:43" ht="14.25" customHeight="1">
      <c r="C2176" s="244"/>
      <c r="D2176" s="26"/>
      <c r="E2176" s="26"/>
      <c r="F2176" s="26"/>
      <c r="G2176" s="26"/>
      <c r="H2176" s="5"/>
      <c r="I2176" s="26"/>
    </row>
    <row r="2177" spans="3:9" ht="14.25" customHeight="1">
      <c r="C2177" s="244"/>
      <c r="D2177" s="26"/>
      <c r="E2177" s="26"/>
      <c r="F2177" s="26"/>
      <c r="G2177" s="26"/>
      <c r="H2177" s="5"/>
      <c r="I2177" s="26"/>
    </row>
    <row r="2178" spans="3:9" ht="14.25" customHeight="1">
      <c r="C2178" s="244"/>
      <c r="D2178" s="26"/>
      <c r="E2178" s="26"/>
      <c r="F2178" s="26"/>
      <c r="G2178" s="26"/>
      <c r="H2178" s="5"/>
      <c r="I2178" s="26"/>
    </row>
    <row r="2179" spans="3:9" ht="14.25" customHeight="1">
      <c r="C2179" s="244"/>
      <c r="D2179" s="26"/>
      <c r="E2179" s="26"/>
      <c r="F2179" s="26"/>
      <c r="G2179" s="26"/>
      <c r="H2179" s="5"/>
      <c r="I2179" s="26"/>
    </row>
    <row r="2180" spans="3:9" ht="14.25" customHeight="1">
      <c r="C2180" s="244"/>
      <c r="D2180" s="26"/>
      <c r="E2180" s="26"/>
      <c r="F2180" s="26"/>
      <c r="G2180" s="26"/>
      <c r="H2180" s="5"/>
      <c r="I2180" s="26"/>
    </row>
    <row r="2181" spans="3:9" ht="14.25" customHeight="1">
      <c r="C2181" s="244"/>
      <c r="D2181" s="26"/>
      <c r="E2181" s="26"/>
      <c r="F2181" s="26"/>
      <c r="G2181" s="26"/>
      <c r="H2181" s="5"/>
      <c r="I2181" s="26"/>
    </row>
    <row r="2182" spans="3:9" ht="14.25" customHeight="1">
      <c r="C2182" s="244"/>
      <c r="D2182" s="26"/>
      <c r="E2182" s="26"/>
      <c r="F2182" s="26"/>
      <c r="G2182" s="26"/>
      <c r="H2182" s="5"/>
      <c r="I2182" s="26"/>
    </row>
    <row r="2183" spans="3:9" ht="14.25" customHeight="1">
      <c r="C2183" s="244"/>
      <c r="D2183" s="26"/>
      <c r="E2183" s="26"/>
      <c r="F2183" s="26"/>
      <c r="G2183" s="26"/>
      <c r="H2183" s="5"/>
      <c r="I2183" s="26"/>
    </row>
    <row r="2184" spans="3:9" ht="14.25" customHeight="1">
      <c r="C2184" s="244"/>
      <c r="D2184" s="26"/>
      <c r="E2184" s="26"/>
      <c r="F2184" s="26"/>
      <c r="G2184" s="26"/>
      <c r="H2184" s="5"/>
      <c r="I2184" s="26"/>
    </row>
    <row r="2185" spans="3:9" ht="14.25" customHeight="1">
      <c r="C2185" s="244"/>
      <c r="D2185" s="26"/>
      <c r="E2185" s="26"/>
      <c r="F2185" s="26"/>
      <c r="G2185" s="26"/>
      <c r="H2185" s="5"/>
      <c r="I2185" s="26"/>
    </row>
    <row r="2186" spans="3:9" ht="14.25" customHeight="1">
      <c r="C2186" s="244"/>
      <c r="D2186" s="26"/>
      <c r="E2186" s="26"/>
      <c r="F2186" s="26"/>
      <c r="G2186" s="26"/>
      <c r="H2186" s="5"/>
      <c r="I2186" s="26"/>
    </row>
    <row r="2187" spans="3:9" ht="14.25" customHeight="1">
      <c r="C2187" s="244"/>
      <c r="D2187" s="26"/>
      <c r="E2187" s="26"/>
      <c r="F2187" s="26"/>
      <c r="G2187" s="26"/>
      <c r="H2187" s="5"/>
      <c r="I2187" s="26"/>
    </row>
    <row r="2188" spans="3:9" ht="14.25" customHeight="1">
      <c r="C2188" s="244"/>
      <c r="D2188" s="26"/>
      <c r="E2188" s="26"/>
      <c r="F2188" s="26"/>
      <c r="G2188" s="26"/>
      <c r="H2188" s="5"/>
      <c r="I2188" s="26"/>
    </row>
    <row r="2189" spans="3:9" ht="14.25" customHeight="1">
      <c r="C2189" s="244"/>
      <c r="D2189" s="26"/>
      <c r="E2189" s="26"/>
      <c r="F2189" s="26"/>
      <c r="G2189" s="26"/>
      <c r="H2189" s="5"/>
      <c r="I2189" s="26"/>
    </row>
    <row r="2190" spans="3:9" ht="14.25" customHeight="1">
      <c r="C2190" s="244"/>
      <c r="D2190" s="26"/>
      <c r="E2190" s="26"/>
      <c r="F2190" s="26"/>
      <c r="G2190" s="26"/>
      <c r="H2190" s="5"/>
      <c r="I2190" s="26"/>
    </row>
    <row r="2191" spans="3:9" ht="14.25" customHeight="1">
      <c r="C2191" s="244"/>
      <c r="D2191" s="26"/>
      <c r="E2191" s="26"/>
      <c r="F2191" s="26"/>
      <c r="G2191" s="26"/>
      <c r="H2191" s="5"/>
      <c r="I2191" s="26"/>
    </row>
    <row r="2192" spans="3:9" ht="14.25" customHeight="1">
      <c r="C2192" s="244"/>
      <c r="D2192" s="26"/>
      <c r="E2192" s="26"/>
      <c r="F2192" s="26"/>
      <c r="G2192" s="26"/>
      <c r="H2192" s="5"/>
      <c r="I2192" s="26"/>
    </row>
    <row r="2193" spans="3:23" ht="14.25" customHeight="1">
      <c r="C2193" s="244"/>
      <c r="D2193" s="26"/>
      <c r="E2193" s="26"/>
      <c r="F2193" s="26"/>
      <c r="G2193" s="26"/>
      <c r="H2193" s="5"/>
      <c r="I2193" s="26"/>
    </row>
    <row r="2194" spans="3:23" ht="14.25" customHeight="1">
      <c r="C2194" s="244"/>
      <c r="D2194" s="26"/>
      <c r="E2194" s="26"/>
      <c r="F2194" s="26"/>
      <c r="G2194" s="26"/>
      <c r="H2194" s="5"/>
      <c r="I2194" s="26"/>
    </row>
    <row r="2195" spans="3:23" ht="14.25" customHeight="1">
      <c r="C2195" s="244"/>
      <c r="D2195" s="26"/>
      <c r="E2195" s="26"/>
      <c r="F2195" s="26"/>
      <c r="G2195" s="26"/>
      <c r="H2195" s="5"/>
      <c r="I2195" s="26"/>
    </row>
    <row r="2196" spans="3:23" ht="14.25" customHeight="1">
      <c r="C2196" s="244"/>
      <c r="D2196" s="26"/>
      <c r="E2196" s="26"/>
      <c r="F2196" s="26"/>
      <c r="G2196" s="26"/>
      <c r="H2196" s="5"/>
      <c r="I2196" s="26"/>
    </row>
    <row r="2197" spans="3:23" ht="14.25" customHeight="1">
      <c r="C2197" s="244"/>
      <c r="D2197" s="26"/>
      <c r="E2197" s="26"/>
      <c r="F2197" s="26"/>
      <c r="G2197" s="26"/>
      <c r="H2197" s="5"/>
      <c r="I2197" s="26"/>
    </row>
    <row r="2198" spans="3:23" ht="14.25" customHeight="1">
      <c r="C2198" s="244"/>
      <c r="D2198" s="26"/>
      <c r="E2198" s="26"/>
      <c r="F2198" s="26"/>
      <c r="G2198" s="26"/>
      <c r="H2198" s="5"/>
      <c r="I2198" s="26"/>
    </row>
    <row r="2199" spans="3:23" ht="14.25" customHeight="1">
      <c r="C2199" s="244"/>
      <c r="D2199" s="26"/>
      <c r="E2199" s="26"/>
      <c r="F2199" s="26"/>
      <c r="G2199" s="26"/>
      <c r="H2199" s="5"/>
      <c r="I2199" s="26"/>
    </row>
    <row r="2200" spans="3:23" ht="14.25" customHeight="1">
      <c r="C2200" s="244"/>
      <c r="D2200" s="26"/>
      <c r="E2200" s="26"/>
      <c r="F2200" s="26"/>
      <c r="G2200" s="26"/>
      <c r="H2200" s="5"/>
      <c r="I2200" s="26"/>
    </row>
    <row r="2201" spans="3:23" ht="14.25" customHeight="1">
      <c r="C2201" s="244"/>
      <c r="D2201" s="26"/>
      <c r="E2201" s="26"/>
      <c r="F2201" s="26"/>
      <c r="G2201" s="26"/>
      <c r="H2201" s="5"/>
      <c r="I2201" s="26"/>
    </row>
    <row r="2202" spans="3:23" ht="14.25" customHeight="1">
      <c r="C2202" s="244"/>
      <c r="D2202" s="26"/>
      <c r="E2202" s="26"/>
      <c r="F2202" s="26"/>
      <c r="G2202" s="26"/>
      <c r="H2202" s="5"/>
      <c r="I2202" s="26"/>
    </row>
    <row r="2203" spans="3:23" ht="14.25" customHeight="1">
      <c r="C2203" s="244"/>
      <c r="D2203" s="26"/>
      <c r="E2203" s="26"/>
      <c r="F2203" s="26"/>
      <c r="G2203" s="26"/>
      <c r="H2203" s="5"/>
      <c r="I2203" s="26"/>
    </row>
    <row r="2204" spans="3:23" ht="14.25" customHeight="1">
      <c r="C2204" s="244"/>
      <c r="D2204" s="26"/>
      <c r="E2204" s="26"/>
      <c r="F2204" s="26"/>
      <c r="G2204" s="26"/>
      <c r="H2204" s="5"/>
      <c r="I2204" s="26"/>
    </row>
    <row r="2205" spans="3:23" ht="14.25" customHeight="1">
      <c r="C2205" s="244"/>
      <c r="D2205" s="26"/>
      <c r="E2205" s="26"/>
      <c r="F2205" s="26"/>
      <c r="G2205" s="26"/>
      <c r="H2205" s="5"/>
      <c r="I2205" s="26"/>
    </row>
    <row r="2206" spans="3:23" ht="14.25" customHeight="1">
      <c r="C2206" s="244"/>
      <c r="D2206" s="26"/>
      <c r="E2206" s="26"/>
      <c r="F2206" s="26"/>
      <c r="G2206" s="26"/>
      <c r="H2206" s="5"/>
      <c r="I2206" s="26"/>
      <c r="K2206" s="57"/>
      <c r="W2206" s="57"/>
    </row>
    <row r="2207" spans="3:23" ht="14.25" customHeight="1">
      <c r="C2207" s="244"/>
      <c r="D2207" s="26"/>
      <c r="E2207" s="26"/>
      <c r="F2207" s="26"/>
      <c r="G2207" s="57"/>
      <c r="H2207" s="5"/>
      <c r="I2207" s="26"/>
      <c r="K2207" s="57"/>
      <c r="O2207" s="57"/>
      <c r="S2207" s="57"/>
      <c r="W2207" s="57"/>
    </row>
    <row r="2208" spans="3:23" ht="14.25" customHeight="1">
      <c r="C2208" s="244"/>
      <c r="D2208" s="26"/>
      <c r="E2208" s="26"/>
      <c r="F2208" s="26"/>
      <c r="G2208" s="57"/>
      <c r="H2208" s="5"/>
      <c r="I2208" s="26"/>
      <c r="K2208" s="57"/>
      <c r="O2208" s="57"/>
      <c r="S2208" s="57"/>
      <c r="W2208" s="57"/>
    </row>
    <row r="2209" spans="1:58" ht="14.25" customHeight="1">
      <c r="C2209" s="244"/>
      <c r="D2209" s="26"/>
      <c r="E2209" s="26"/>
      <c r="F2209" s="26"/>
      <c r="G2209" s="57"/>
      <c r="H2209" s="5"/>
      <c r="I2209" s="26"/>
      <c r="K2209" s="57"/>
      <c r="O2209" s="57"/>
      <c r="S2209" s="57"/>
      <c r="W2209" s="57"/>
    </row>
    <row r="2210" spans="1:58" ht="14.25" customHeight="1">
      <c r="C2210" s="244"/>
      <c r="D2210" s="26"/>
      <c r="E2210" s="26"/>
      <c r="F2210" s="26"/>
      <c r="G2210" s="26"/>
      <c r="H2210" s="5"/>
      <c r="I2210" s="26"/>
      <c r="K2210" s="26"/>
      <c r="O2210" s="26"/>
      <c r="S2210" s="26"/>
      <c r="W2210" s="26"/>
    </row>
    <row r="2211" spans="1:58" ht="14.25" customHeight="1">
      <c r="C2211" s="244"/>
      <c r="D2211" s="26"/>
      <c r="E2211" s="26"/>
      <c r="F2211" s="26"/>
      <c r="G2211" s="57"/>
      <c r="H2211" s="5"/>
      <c r="I2211" s="26"/>
      <c r="K2211" s="57"/>
      <c r="O2211" s="57"/>
      <c r="S2211" s="57"/>
      <c r="W2211" s="57"/>
    </row>
    <row r="2212" spans="1:58" ht="14.25" customHeight="1">
      <c r="C2212" s="244"/>
      <c r="D2212" s="26"/>
      <c r="E2212" s="26"/>
      <c r="F2212" s="26"/>
      <c r="G2212" s="57"/>
      <c r="H2212" s="5"/>
      <c r="I2212" s="26"/>
      <c r="K2212" s="57"/>
      <c r="O2212" s="57"/>
      <c r="S2212" s="57"/>
      <c r="W2212" s="57"/>
    </row>
    <row r="2213" spans="1:58" ht="14.25" customHeight="1">
      <c r="C2213" s="244"/>
      <c r="D2213" s="26"/>
      <c r="E2213" s="26"/>
      <c r="F2213" s="26"/>
      <c r="G2213" s="57"/>
      <c r="H2213" s="5"/>
      <c r="I2213" s="26"/>
      <c r="K2213" s="57"/>
      <c r="O2213" s="57"/>
      <c r="S2213" s="57"/>
      <c r="W2213" s="57"/>
    </row>
    <row r="2214" spans="1:58" ht="14.25" customHeight="1">
      <c r="C2214" s="244"/>
      <c r="D2214" s="26"/>
      <c r="E2214" s="26"/>
      <c r="F2214" s="26"/>
      <c r="G2214" s="57"/>
      <c r="H2214" s="5"/>
      <c r="I2214" s="26"/>
      <c r="K2214" s="57"/>
      <c r="O2214" s="57"/>
      <c r="S2214" s="57"/>
      <c r="W2214" s="57"/>
    </row>
    <row r="2215" spans="1:58" ht="14.25" customHeight="1">
      <c r="C2215" s="244"/>
      <c r="D2215" s="26"/>
      <c r="E2215" s="26"/>
      <c r="F2215" s="26"/>
      <c r="G2215" s="57"/>
      <c r="H2215" s="5"/>
      <c r="I2215" s="26"/>
      <c r="K2215" s="57"/>
      <c r="O2215" s="57"/>
      <c r="S2215" s="57"/>
      <c r="W2215" s="57"/>
    </row>
    <row r="2216" spans="1:58" ht="14.25" customHeight="1">
      <c r="C2216" s="244"/>
      <c r="D2216" s="26"/>
      <c r="E2216" s="26"/>
      <c r="F2216" s="26"/>
      <c r="G2216" s="57"/>
      <c r="H2216" s="5"/>
      <c r="I2216" s="26"/>
      <c r="K2216" s="57"/>
      <c r="O2216" s="57"/>
      <c r="S2216" s="57"/>
      <c r="W2216" s="57"/>
      <c r="AC2216" s="20"/>
      <c r="AG2216" s="20"/>
    </row>
    <row r="2217" spans="1:58" ht="14.25" customHeight="1">
      <c r="C2217" s="244"/>
      <c r="D2217" s="26"/>
      <c r="E2217" s="26"/>
      <c r="F2217" s="26"/>
      <c r="G2217" s="57"/>
      <c r="H2217" s="5"/>
      <c r="I2217" s="26"/>
      <c r="J2217" s="5"/>
      <c r="K2217" s="57"/>
      <c r="L2217" s="26"/>
      <c r="N2217" s="26"/>
      <c r="O2217" s="57"/>
      <c r="P2217" s="26"/>
      <c r="R2217" s="26"/>
      <c r="S2217" s="57"/>
      <c r="T2217" s="26"/>
      <c r="V2217" s="26"/>
      <c r="W2217" s="57"/>
    </row>
    <row r="2218" spans="1:58" ht="14.25" customHeight="1">
      <c r="C2218" s="244"/>
      <c r="D2218" s="26"/>
      <c r="E2218" s="26"/>
      <c r="F2218" s="26"/>
      <c r="G2218" s="57"/>
      <c r="H2218" s="26"/>
      <c r="I2218" s="26"/>
      <c r="J2218" s="26"/>
      <c r="K2218" s="57"/>
      <c r="O2218" s="26"/>
      <c r="S2218" s="26"/>
      <c r="W2218" s="26"/>
    </row>
    <row r="2219" spans="1:58" s="8" customFormat="1">
      <c r="B2219" s="549" t="str">
        <f>TITLE!$C$40</f>
        <v>Дверна коробка STANDARD</v>
      </c>
      <c r="C2219" s="549"/>
      <c r="D2219" s="117"/>
      <c r="E2219" s="551" t="str">
        <f>IF($C$1="ENG","For Door Leafs with Rebbit","Для Дверних Полотен з Фальцем")</f>
        <v>Для Дверних Полотен з Фальцем</v>
      </c>
      <c r="F2219" s="551"/>
      <c r="G2219" s="551"/>
      <c r="H2219" s="551"/>
      <c r="I2219" s="551"/>
      <c r="J2219" s="551"/>
      <c r="K2219" s="551"/>
      <c r="L2219" s="552"/>
      <c r="M2219" s="552"/>
      <c r="N2219" s="552"/>
      <c r="O2219" s="552"/>
      <c r="P2219" s="552"/>
      <c r="Q2219" s="552"/>
      <c r="R2219" s="552"/>
      <c r="S2219" s="552"/>
      <c r="T2219" s="544" t="str">
        <f>IF($C$1="ENG",CONCATENATE("up to: ",B2160),CONCATENATE("вгору до: ",B2160))</f>
        <v>вгору до: Розсувна система Verto-SLIDE</v>
      </c>
      <c r="U2219" s="544"/>
      <c r="V2219" s="544"/>
      <c r="W2219" s="544"/>
      <c r="AN2219" s="279"/>
      <c r="AO2219" s="279"/>
      <c r="AP2219" s="279"/>
      <c r="AQ2219" s="279"/>
      <c r="AR2219" s="279"/>
      <c r="AS2219" s="279"/>
      <c r="AT2219" s="279"/>
    </row>
    <row r="2220" spans="1:58" s="8" customFormat="1" ht="5.0999999999999996" customHeight="1">
      <c r="C2220" s="422"/>
      <c r="L2220" s="150"/>
      <c r="M2220" s="150"/>
      <c r="N2220" s="150"/>
      <c r="O2220" s="150"/>
      <c r="P2220" s="150"/>
      <c r="Q2220" s="150"/>
      <c r="R2220" s="150"/>
      <c r="S2220" s="150"/>
      <c r="T2220" s="151"/>
      <c r="U2220" s="151"/>
      <c r="V2220" s="151"/>
      <c r="W2220" s="151"/>
      <c r="AN2220" s="279"/>
      <c r="AO2220" s="279"/>
      <c r="AP2220" s="279"/>
      <c r="AQ2220" s="279"/>
      <c r="AR2220" s="279"/>
      <c r="AS2220" s="279"/>
      <c r="AT2220" s="279"/>
    </row>
    <row r="2221" spans="1:58" ht="12.75" customHeight="1">
      <c r="A2221" s="8"/>
      <c r="B2221" s="306" t="str">
        <f>IF($C$1="ENG","model","модель")</f>
        <v>модель</v>
      </c>
      <c r="C2221" s="121" t="str">
        <f>IF($C$1="ENG","cover:","покриття:")</f>
        <v>покриття:</v>
      </c>
      <c r="D2221" s="538" t="str">
        <f>IF($C$1="ENG","SIMPLEX / VERTO-CELL ","SIMPLEX / VERTO-CELL")</f>
        <v>SIMPLEX / VERTO-CELL</v>
      </c>
      <c r="E2221" s="553"/>
      <c r="F2221" s="553"/>
      <c r="G2221" s="539"/>
      <c r="H2221" s="538" t="str">
        <f>IF($C$1="ENG","UNI-MAT","UNI-MAT")</f>
        <v>UNI-MAT</v>
      </c>
      <c r="I2221" s="553"/>
      <c r="J2221" s="553"/>
      <c r="K2221" s="539"/>
      <c r="L2221" s="538" t="str">
        <f>IF($C$1="ENG","RESIST","RESIST")</f>
        <v>RESIST</v>
      </c>
      <c r="M2221" s="553"/>
      <c r="N2221" s="553"/>
      <c r="O2221" s="539"/>
      <c r="P2221" s="538" t="str">
        <f>IF($C$1="ENG","Verto LINE-3D","Verto LINE-3D")</f>
        <v>Verto LINE-3D</v>
      </c>
      <c r="Q2221" s="553"/>
      <c r="R2221" s="553"/>
      <c r="S2221" s="539"/>
      <c r="T2221" s="538" t="str">
        <f>IF($C$1="ENG","ECO Shpon / LOFT","ЕКО Шпон / LOFT")</f>
        <v>ЕКО Шпон / LOFT</v>
      </c>
      <c r="U2221" s="553"/>
      <c r="V2221" s="553"/>
      <c r="W2221" s="539"/>
      <c r="AE2221" s="382">
        <f>AE2223/AC2223-1</f>
        <v>0.13114754098360648</v>
      </c>
      <c r="AF2221" s="382"/>
      <c r="AG2221" s="382">
        <f>AG2223/AE2223-1</f>
        <v>3.8647342995169032E-2</v>
      </c>
    </row>
    <row r="2222" spans="1:58" ht="12.75" customHeight="1">
      <c r="A2222" s="8"/>
      <c r="B2222" s="308"/>
      <c r="C2222" s="123" t="str">
        <f>IF($C$1="ENG","type:","виконання:")</f>
        <v>виконання:</v>
      </c>
      <c r="D2222" s="542" t="str">
        <f>IF($C$1="ENG","single leaf","одностулкове")</f>
        <v>одностулкове</v>
      </c>
      <c r="E2222" s="547"/>
      <c r="F2222" s="567" t="str">
        <f>IF($C$1="ENG","double leaf","двостулкові")</f>
        <v>двостулкові</v>
      </c>
      <c r="G2222" s="543"/>
      <c r="H2222" s="542" t="str">
        <f>IF($C$1="ENG","single leaf","одностулкове")</f>
        <v>одностулкове</v>
      </c>
      <c r="I2222" s="547"/>
      <c r="J2222" s="567" t="str">
        <f>IF($C$1="ENG","double leaf","двостулкові")</f>
        <v>двостулкові</v>
      </c>
      <c r="K2222" s="543"/>
      <c r="L2222" s="542" t="str">
        <f>IF($C$1="ENG","single leaf","одностулкове")</f>
        <v>одностулкове</v>
      </c>
      <c r="M2222" s="547"/>
      <c r="N2222" s="548" t="str">
        <f>IF($C$1="ENG","double leaf","двостулкові")</f>
        <v>двостулкові</v>
      </c>
      <c r="O2222" s="543"/>
      <c r="P2222" s="542" t="str">
        <f>IF($C$1="ENG","single leaf","одностулкове")</f>
        <v>одностулкове</v>
      </c>
      <c r="Q2222" s="547"/>
      <c r="R2222" s="548" t="str">
        <f>IF($C$1="ENG","double leaf","двостулкові")</f>
        <v>двостулкові</v>
      </c>
      <c r="S2222" s="543"/>
      <c r="T2222" s="542" t="str">
        <f>IF($C$1="ENG","single leaf","одностулкове")</f>
        <v>одностулкове</v>
      </c>
      <c r="U2222" s="547"/>
      <c r="V2222" s="548" t="str">
        <f>IF($C$1="ENG","double leaf","двостулкові")</f>
        <v>двостулкові</v>
      </c>
      <c r="W2222" s="543"/>
      <c r="AR2222" s="382"/>
    </row>
    <row r="2223" spans="1:58" ht="34.5" customHeight="1">
      <c r="A2223" s="8"/>
      <c r="B2223" s="243" t="str">
        <f>IF($C$1="ENG","Door Frame 80 mm MDF","Коробка МДФ 80 мм")</f>
        <v>Коробка МДФ 80 мм</v>
      </c>
      <c r="C2223" s="424"/>
      <c r="D2223" s="15">
        <f>IF(AC2223="","",(1-$W$2)*(AC2223/1.2))</f>
        <v>1525</v>
      </c>
      <c r="E2223" s="266">
        <f>IF($W$5=0.2,D2223*1.2,D2223)/$W$4</f>
        <v>1830</v>
      </c>
      <c r="F2223" s="269">
        <f>IF(AD2223="","",(1-$W$2)*(AD2223/1.2))</f>
        <v>2133.3333333333335</v>
      </c>
      <c r="G2223" s="64">
        <f>IF($W$5=0.2,F2223*1.2,F2223)/$W$4</f>
        <v>2560</v>
      </c>
      <c r="H2223" s="15">
        <f>IF(AE2223="","",(1-$W$2)*(AE2223/1.2))</f>
        <v>1725</v>
      </c>
      <c r="I2223" s="266">
        <f>IF($W$5=0.2,H2223*1.2,H2223)/$W$4</f>
        <v>2070</v>
      </c>
      <c r="J2223" s="269">
        <f>IF(AF2223="","",(1-$W$2)*(AF2223/1.2))</f>
        <v>2408.3333333333335</v>
      </c>
      <c r="K2223" s="64">
        <f>IF($W$5=0.2,J2223*1.2,J2223)/$W$4</f>
        <v>2890</v>
      </c>
      <c r="L2223" s="15">
        <f>IF(AG2223="","",(1-$W$2)*(AG2223/1.2))</f>
        <v>1791.6666666666667</v>
      </c>
      <c r="M2223" s="266">
        <f>IF($W$5=0.2,L2223*1.2,L2223)/$W$4</f>
        <v>2150</v>
      </c>
      <c r="N2223" s="269">
        <f>IF(AH2223="","",(1-$W$2)*(AH2223/1.2))</f>
        <v>2508.3333333333335</v>
      </c>
      <c r="O2223" s="64">
        <f>IF($W$5=0.2,N2223*1.2,N2223)/$W$4</f>
        <v>3010</v>
      </c>
      <c r="P2223" s="15">
        <f>IF(AI2223="","",(1-$W$2)*(AI2223/1.2))</f>
        <v>1975</v>
      </c>
      <c r="Q2223" s="266">
        <f>IF($W$5=0.2,P2223*1.2,P2223)/$W$4</f>
        <v>2370</v>
      </c>
      <c r="R2223" s="269">
        <f>IF(AJ2223="","",(1-$W$2)*(AJ2223/1.2))</f>
        <v>2766.666666666667</v>
      </c>
      <c r="S2223" s="64">
        <f>IF($W$5=0.2,R2223*1.2,R2223)/$W$4</f>
        <v>3320.0000000000005</v>
      </c>
      <c r="T2223" s="15">
        <f>IF(AK2223="","",(1-$W$2)*(AK2223/1.2))</f>
        <v>2125</v>
      </c>
      <c r="U2223" s="266">
        <f>IF($W$5=0.2,T2223*1.2,T2223)/$W$4</f>
        <v>2550</v>
      </c>
      <c r="V2223" s="269">
        <f>IF(AL2223="","",(1-$W$2)*(AL2223/1.2))</f>
        <v>2975</v>
      </c>
      <c r="W2223" s="64">
        <f>IF($W$5=0.2,V2223*1.2,V2223)/$W$4</f>
        <v>3570</v>
      </c>
      <c r="X2223" s="22"/>
      <c r="Y2223" s="22"/>
      <c r="Z2223" s="22"/>
      <c r="AA2223" s="22"/>
      <c r="AB2223" s="22"/>
      <c r="AC2223" s="391">
        <v>1830</v>
      </c>
      <c r="AD2223" s="392">
        <v>2560</v>
      </c>
      <c r="AE2223" s="393">
        <v>2070</v>
      </c>
      <c r="AF2223" s="392">
        <v>2890</v>
      </c>
      <c r="AG2223" s="391">
        <v>2150</v>
      </c>
      <c r="AH2223" s="392">
        <v>3010</v>
      </c>
      <c r="AI2223" s="391">
        <v>2370</v>
      </c>
      <c r="AJ2223" s="392">
        <v>3320</v>
      </c>
      <c r="AK2223" s="391">
        <v>2550</v>
      </c>
      <c r="AL2223" s="392">
        <v>3570</v>
      </c>
      <c r="AM2223" s="333">
        <v>1830</v>
      </c>
      <c r="AN2223" s="309">
        <f>AM2223/AC2223-1</f>
        <v>0</v>
      </c>
      <c r="AO2223" s="333">
        <v>2560</v>
      </c>
      <c r="AP2223" s="309">
        <f>AO2223/AD2223-1</f>
        <v>0</v>
      </c>
      <c r="AQ2223" s="333">
        <v>2070</v>
      </c>
      <c r="AR2223" s="309">
        <f>AQ2223/AE2223-1</f>
        <v>0</v>
      </c>
      <c r="AS2223" s="333">
        <v>2890</v>
      </c>
      <c r="AT2223" s="309">
        <f>AS2223/AF2223-1</f>
        <v>0</v>
      </c>
      <c r="AU2223" s="333">
        <v>2150</v>
      </c>
      <c r="AV2223" s="309">
        <f>AU2223/AG2223-1</f>
        <v>0</v>
      </c>
      <c r="AW2223" s="333">
        <v>3000</v>
      </c>
      <c r="AX2223" s="309"/>
      <c r="AY2223" s="333"/>
      <c r="AZ2223" s="309"/>
      <c r="BA2223" s="333"/>
      <c r="BB2223" s="309"/>
      <c r="BC2223" s="333"/>
      <c r="BD2223" s="309"/>
      <c r="BE2223" s="333"/>
      <c r="BF2223" s="309"/>
    </row>
    <row r="2224" spans="1:58" ht="34.5" customHeight="1">
      <c r="A2224" s="8"/>
      <c r="B2224" s="107" t="str">
        <f>IF($C$1="ENG","Door Frame 80 mm Wood","Коробка Дерев'яна 80 мм")</f>
        <v>Коробка Дерев'яна 80 мм</v>
      </c>
      <c r="C2224" s="425"/>
      <c r="D2224" s="25">
        <f>IF(AC2224="","",(1-$W$2)*(AC2224/1.2))</f>
        <v>1850</v>
      </c>
      <c r="E2224" s="268">
        <f>IF($W$5=0.2,D2224*1.2,D2224)/$W$4</f>
        <v>2220</v>
      </c>
      <c r="F2224" s="271">
        <f>IF(AD2224="","",(1-$W$2)*(AD2224/1.2))</f>
        <v>2566.666666666667</v>
      </c>
      <c r="G2224" s="69">
        <f>IF($W$5=0.2,F2224*1.2,F2224)/$W$4</f>
        <v>3080.0000000000005</v>
      </c>
      <c r="H2224" s="25">
        <f>IF(AE2224="","",(1-$W$2)*(AE2224/1.2))</f>
        <v>2100</v>
      </c>
      <c r="I2224" s="268">
        <f>IF($W$5=0.2,H2224*1.2,H2224)/$W$4</f>
        <v>2520</v>
      </c>
      <c r="J2224" s="271">
        <f>IF(AF2224="","",(1-$W$2)*(AF2224/1.2))</f>
        <v>2941.666666666667</v>
      </c>
      <c r="K2224" s="69">
        <f>IF($W$5=0.2,J2224*1.2,J2224)/$W$4</f>
        <v>3530.0000000000005</v>
      </c>
      <c r="L2224" s="25">
        <f>IF(AG2224="","",(1-$W$2)*(AG2224/1.2))</f>
        <v>2233.3333333333335</v>
      </c>
      <c r="M2224" s="268">
        <f>IF($W$5=0.2,L2224*1.2,L2224)/$W$4</f>
        <v>2680</v>
      </c>
      <c r="N2224" s="271">
        <f>IF(AH2224="","",(1-$W$2)*(AH2224/1.2))</f>
        <v>3125</v>
      </c>
      <c r="O2224" s="69">
        <f>IF($W$5=0.2,N2224*1.2,N2224)/$W$4</f>
        <v>3750</v>
      </c>
      <c r="P2224" s="25">
        <f>IF(AI2224="","",(1-$W$2)*(AI2224/1.2))</f>
        <v>2450</v>
      </c>
      <c r="Q2224" s="268">
        <f>IF($W$5=0.2,P2224*1.2,P2224)/$W$4</f>
        <v>2940</v>
      </c>
      <c r="R2224" s="271">
        <f>IF(AJ2224="","",(1-$W$2)*(AJ2224/1.2))</f>
        <v>3425</v>
      </c>
      <c r="S2224" s="69">
        <f>IF($W$5=0.2,R2224*1.2,R2224)/$W$4</f>
        <v>4110</v>
      </c>
      <c r="T2224" s="25">
        <f>IF(AK2224="","",(1-$W$2)*(AK2224/1.2))</f>
        <v>2700</v>
      </c>
      <c r="U2224" s="268">
        <f>IF($W$5=0.2,T2224*1.2,T2224)/$W$4</f>
        <v>3240</v>
      </c>
      <c r="V2224" s="271">
        <f>IF(AL2224="","",(1-$W$2)*(AL2224/1.2))</f>
        <v>3775</v>
      </c>
      <c r="W2224" s="69">
        <f>IF($W$5=0.2,V2224*1.2,V2224)/$W$4</f>
        <v>4530</v>
      </c>
      <c r="X2224" s="22"/>
      <c r="Y2224" s="22"/>
      <c r="Z2224" s="22"/>
      <c r="AA2224" s="22"/>
      <c r="AB2224" s="22"/>
      <c r="AC2224" s="391">
        <v>2220</v>
      </c>
      <c r="AD2224" s="392">
        <v>3080</v>
      </c>
      <c r="AE2224" s="393">
        <v>2520</v>
      </c>
      <c r="AF2224" s="392">
        <v>3530</v>
      </c>
      <c r="AG2224" s="391">
        <v>2680</v>
      </c>
      <c r="AH2224" s="392">
        <v>3750</v>
      </c>
      <c r="AI2224" s="391">
        <v>2940</v>
      </c>
      <c r="AJ2224" s="392">
        <v>4110</v>
      </c>
      <c r="AK2224" s="391">
        <v>3240</v>
      </c>
      <c r="AL2224" s="392">
        <v>4530</v>
      </c>
      <c r="AM2224" s="333">
        <v>2220</v>
      </c>
      <c r="AN2224" s="309">
        <f>AM2224/AC2224-1</f>
        <v>0</v>
      </c>
      <c r="AO2224" s="333">
        <v>3120</v>
      </c>
      <c r="AP2224" s="309">
        <f>AO2224/AD2224-1</f>
        <v>1.298701298701288E-2</v>
      </c>
      <c r="AQ2224" s="333">
        <v>2520</v>
      </c>
      <c r="AR2224" s="309">
        <f>AQ2224/AE2224-1</f>
        <v>0</v>
      </c>
      <c r="AS2224" s="333">
        <v>3530</v>
      </c>
      <c r="AT2224" s="309">
        <f>AS2224/AF2224-1</f>
        <v>0</v>
      </c>
      <c r="AU2224" s="333">
        <v>2680</v>
      </c>
      <c r="AV2224" s="309">
        <f>AU2224/AG2224-1</f>
        <v>0</v>
      </c>
      <c r="AW2224" s="333">
        <v>3750</v>
      </c>
      <c r="AX2224" s="309"/>
      <c r="AY2224" s="333"/>
      <c r="AZ2224" s="309"/>
      <c r="BA2224" s="333"/>
      <c r="BB2224" s="309"/>
      <c r="BC2224" s="333"/>
      <c r="BD2224" s="309"/>
      <c r="BE2224" s="333"/>
      <c r="BF2224" s="309"/>
    </row>
    <row r="2225" spans="1:58" s="48" customFormat="1" ht="24" customHeight="1">
      <c r="B2225" s="54" t="str">
        <f>IF($C$1="ENG","MASKING ARCHITRAVES","ЛИШТВА")</f>
        <v>ЛИШТВА</v>
      </c>
      <c r="C2225" s="426"/>
      <c r="D2225" s="28"/>
      <c r="E2225" s="59"/>
      <c r="F2225" s="59"/>
      <c r="G2225" s="59"/>
      <c r="H2225" s="59"/>
      <c r="I2225" s="59"/>
      <c r="J2225" s="59"/>
      <c r="K2225" s="59"/>
      <c r="L2225" s="59"/>
      <c r="M2225" s="59"/>
      <c r="N2225" s="59"/>
      <c r="O2225" s="59"/>
      <c r="P2225" s="59"/>
      <c r="Q2225" s="59"/>
      <c r="R2225" s="59"/>
      <c r="S2225" s="59"/>
      <c r="T2225" s="59"/>
      <c r="U2225" s="59"/>
      <c r="V2225" s="59"/>
      <c r="W2225" s="59"/>
      <c r="AM2225" s="384"/>
      <c r="AN2225" s="56"/>
      <c r="AO2225" s="56"/>
      <c r="AP2225" s="56"/>
      <c r="AQ2225" s="56"/>
      <c r="AR2225" s="56"/>
      <c r="AS2225" s="56"/>
      <c r="AT2225" s="56"/>
    </row>
    <row r="2226" spans="1:58" ht="34.5" customHeight="1">
      <c r="A2226" s="8"/>
      <c r="B2226" s="13" t="str">
        <f>IF($C$1="ENG","Straight (set for 1 side) 60 mm","Прямокутна (1 к-т) 60 мм")</f>
        <v>Прямокутна (1 к-т) 60 мм</v>
      </c>
      <c r="C2226" s="427"/>
      <c r="D2226" s="15">
        <f>IF(AC2226="","",(1-$W$2)*(AC2226/1.2))</f>
        <v>425</v>
      </c>
      <c r="E2226" s="298">
        <f>IF($W$5=0.2,D2226*1.2,D2226)/$W$4</f>
        <v>510</v>
      </c>
      <c r="F2226" s="269">
        <f>IF(AD2226="","",(1-$W$2)*(AD2226/1.2))</f>
        <v>550</v>
      </c>
      <c r="G2226" s="64">
        <f>IF($W$5=0.2,F2226*1.2,F2226)/$W$4</f>
        <v>660</v>
      </c>
      <c r="H2226" s="15">
        <f>IF(AE2226="","",(1-$W$2)*(AE2226/1.2))</f>
        <v>491.66666666666669</v>
      </c>
      <c r="I2226" s="266">
        <f>IF($W$5=0.2,H2226*1.2,H2226)/$W$4</f>
        <v>590</v>
      </c>
      <c r="J2226" s="269">
        <f>IF(AF2226="","",(1-$W$2)*(AF2226/1.2))</f>
        <v>633.33333333333337</v>
      </c>
      <c r="K2226" s="64">
        <f>IF($W$5=0.2,J2226*1.2,J2226)/$W$4</f>
        <v>760</v>
      </c>
      <c r="L2226" s="15">
        <f>IF(AG2226="","",(1-$W$2)*(AG2226/1.2))</f>
        <v>575</v>
      </c>
      <c r="M2226" s="266">
        <f>IF($W$5=0.2,L2226*1.2,L2226)/$W$4</f>
        <v>690</v>
      </c>
      <c r="N2226" s="269">
        <f>IF(AH2226="","",(1-$W$2)*(AH2226/1.2))</f>
        <v>741.66666666666674</v>
      </c>
      <c r="O2226" s="64">
        <f>IF($W$5=0.2,N2226*1.2,N2226)/$W$4</f>
        <v>890.00000000000011</v>
      </c>
      <c r="P2226" s="15">
        <f>IF(AI2226="","",(1-$W$2)*(AI2226/1.2))</f>
        <v>658.33333333333337</v>
      </c>
      <c r="Q2226" s="266">
        <f>IF($W$5=0.2,P2226*1.2,P2226)/$W$4</f>
        <v>790</v>
      </c>
      <c r="R2226" s="269">
        <f>IF(AJ2226="","",(1-$W$2)*(AJ2226/1.2))</f>
        <v>858.33333333333337</v>
      </c>
      <c r="S2226" s="64">
        <f>IF($W$5=0.2,R2226*1.2,R2226)/$W$4</f>
        <v>1030</v>
      </c>
      <c r="T2226" s="15">
        <f>IF(AK2226="","",(1-$W$2)*(AK2226/1.2))</f>
        <v>716.66666666666674</v>
      </c>
      <c r="U2226" s="266">
        <f>IF($W$5=0.2,T2226*1.2,T2226)/$W$4</f>
        <v>860.00000000000011</v>
      </c>
      <c r="V2226" s="269">
        <f>IF(AL2226="","",(1-$W$2)*(AL2226/1.2))</f>
        <v>933.33333333333337</v>
      </c>
      <c r="W2226" s="64">
        <f>IF($W$5=0.2,V2226*1.2,V2226)/$W$4</f>
        <v>1120</v>
      </c>
      <c r="X2226" s="22"/>
      <c r="Y2226" s="22"/>
      <c r="Z2226" s="22"/>
      <c r="AA2226" s="22"/>
      <c r="AB2226" s="22"/>
      <c r="AC2226" s="331">
        <v>510</v>
      </c>
      <c r="AD2226" s="331">
        <v>660</v>
      </c>
      <c r="AE2226" s="331">
        <v>590</v>
      </c>
      <c r="AF2226" s="331">
        <v>760</v>
      </c>
      <c r="AG2226" s="331">
        <v>690</v>
      </c>
      <c r="AH2226" s="331">
        <v>890</v>
      </c>
      <c r="AI2226" s="331">
        <v>790</v>
      </c>
      <c r="AJ2226" s="331">
        <v>1030</v>
      </c>
      <c r="AK2226" s="331">
        <v>860</v>
      </c>
      <c r="AL2226" s="331">
        <v>1120</v>
      </c>
      <c r="AM2226" s="333">
        <v>510</v>
      </c>
      <c r="AN2226" s="309">
        <f>AM2226/AC2226-1</f>
        <v>0</v>
      </c>
      <c r="AO2226" s="333">
        <v>660</v>
      </c>
      <c r="AP2226" s="398">
        <f>AO2226/AD2226-1</f>
        <v>0</v>
      </c>
      <c r="AQ2226" s="333">
        <v>590</v>
      </c>
      <c r="AR2226" s="398">
        <f>AQ2226/AE2226-1</f>
        <v>0</v>
      </c>
      <c r="AS2226" s="333">
        <v>760</v>
      </c>
      <c r="AT2226" s="398">
        <f>AS2226/AF2226-1</f>
        <v>0</v>
      </c>
      <c r="AU2226" s="333">
        <v>690</v>
      </c>
      <c r="AV2226" s="398">
        <f>AU2226/AG2226-1</f>
        <v>0</v>
      </c>
      <c r="AW2226" s="1">
        <v>890</v>
      </c>
      <c r="AX2226" s="382"/>
      <c r="AZ2226" s="382"/>
      <c r="BB2226" s="382"/>
      <c r="BD2226" s="382"/>
      <c r="BF2226" s="382"/>
    </row>
    <row r="2227" spans="1:58" ht="34.5" customHeight="1">
      <c r="A2227" s="8"/>
      <c r="B2227" s="23" t="str">
        <f>IF($C$1="ENG","Straight (set for 1 side) 80 mm","Прямокутна (1 к-т) 80 мм")</f>
        <v>Прямокутна (1 к-т) 80 мм</v>
      </c>
      <c r="C2227" s="428"/>
      <c r="D2227" s="25">
        <f>IF(AC2227="","",(1-$W$2)*(AC2227/1.2))</f>
        <v>500</v>
      </c>
      <c r="E2227" s="268">
        <f>IF($W$5=0.2,D2227*1.2,D2227)/$W$4</f>
        <v>600</v>
      </c>
      <c r="F2227" s="271">
        <f>IF(AD2227="","",(1-$W$2)*(AD2227/1.2))</f>
        <v>641.66666666666674</v>
      </c>
      <c r="G2227" s="69">
        <f>IF($W$5=0.2,F2227*1.2,F2227)/$W$4</f>
        <v>770.00000000000011</v>
      </c>
      <c r="H2227" s="25">
        <f>IF(AE2227="","",(1-$W$2)*(AE2227/1.2))</f>
        <v>583.33333333333337</v>
      </c>
      <c r="I2227" s="268">
        <f>IF($W$5=0.2,H2227*1.2,H2227)/$W$4</f>
        <v>700</v>
      </c>
      <c r="J2227" s="271">
        <f>IF(AF2227="","",(1-$W$2)*(AF2227/1.2))</f>
        <v>750</v>
      </c>
      <c r="K2227" s="69">
        <f>IF($W$5=0.2,J2227*1.2,J2227)/$W$4</f>
        <v>900</v>
      </c>
      <c r="L2227" s="25">
        <f>IF(AG2227="","",(1-$W$2)*(AG2227/1.2))</f>
        <v>708.33333333333337</v>
      </c>
      <c r="M2227" s="268">
        <f>IF($W$5=0.2,L2227*1.2,L2227)/$W$4</f>
        <v>850</v>
      </c>
      <c r="N2227" s="271">
        <f>IF(AH2227="","",(1-$W$2)*(AH2227/1.2))</f>
        <v>916.66666666666674</v>
      </c>
      <c r="O2227" s="69">
        <f>IF($W$5=0.2,N2227*1.2,N2227)/$W$4</f>
        <v>1100</v>
      </c>
      <c r="P2227" s="25">
        <f>IF(AI2227="","",(1-$W$2)*(AI2227/1.2))</f>
        <v>808.33333333333337</v>
      </c>
      <c r="Q2227" s="268">
        <f>IF($W$5=0.2,P2227*1.2,P2227)/$W$4</f>
        <v>970</v>
      </c>
      <c r="R2227" s="271">
        <f>IF(AJ2227="","",(1-$W$2)*(AJ2227/1.2))</f>
        <v>1041.6666666666667</v>
      </c>
      <c r="S2227" s="69">
        <f>IF($W$5=0.2,R2227*1.2,R2227)/$W$4</f>
        <v>1250</v>
      </c>
      <c r="T2227" s="25">
        <f>IF(AK2227="","",(1-$W$2)*(AK2227/1.2))</f>
        <v>866.66666666666674</v>
      </c>
      <c r="U2227" s="268">
        <f>IF($W$5=0.2,T2227*1.2,T2227)/$W$4</f>
        <v>1040</v>
      </c>
      <c r="V2227" s="271">
        <f>IF(AL2227="","",(1-$W$2)*(AL2227/1.2))</f>
        <v>1125</v>
      </c>
      <c r="W2227" s="69">
        <f>IF($W$5=0.2,V2227*1.2,V2227)/$W$4</f>
        <v>1350</v>
      </c>
      <c r="X2227" s="22"/>
      <c r="Y2227" s="22"/>
      <c r="Z2227" s="22"/>
      <c r="AA2227" s="22"/>
      <c r="AB2227" s="22"/>
      <c r="AC2227" s="331">
        <v>600</v>
      </c>
      <c r="AD2227" s="331">
        <v>770</v>
      </c>
      <c r="AE2227" s="331">
        <v>700</v>
      </c>
      <c r="AF2227" s="331">
        <v>900</v>
      </c>
      <c r="AG2227" s="331">
        <v>850</v>
      </c>
      <c r="AH2227" s="331">
        <v>1100</v>
      </c>
      <c r="AI2227" s="331">
        <v>970</v>
      </c>
      <c r="AJ2227" s="331">
        <v>1250</v>
      </c>
      <c r="AK2227" s="331">
        <v>1040</v>
      </c>
      <c r="AL2227" s="331">
        <v>1350</v>
      </c>
      <c r="AM2227" s="333">
        <v>600</v>
      </c>
      <c r="AN2227" s="309">
        <f>AM2227/AC2227-1</f>
        <v>0</v>
      </c>
      <c r="AO2227" s="333">
        <v>770</v>
      </c>
      <c r="AP2227" s="398">
        <f>AO2227/AD2227-1</f>
        <v>0</v>
      </c>
      <c r="AQ2227" s="333">
        <v>700</v>
      </c>
      <c r="AR2227" s="398">
        <f>AQ2227/AE2227-1</f>
        <v>0</v>
      </c>
      <c r="AS2227" s="333">
        <v>900</v>
      </c>
      <c r="AT2227" s="398">
        <f>AS2227/AF2227-1</f>
        <v>0</v>
      </c>
      <c r="AU2227" s="333">
        <v>850</v>
      </c>
      <c r="AV2227" s="398">
        <f>AU2227/AG2227-1</f>
        <v>0</v>
      </c>
      <c r="AW2227" s="1">
        <v>1100</v>
      </c>
      <c r="AX2227" s="382"/>
      <c r="AZ2227" s="382"/>
      <c r="BB2227" s="382"/>
      <c r="BD2227" s="382"/>
      <c r="BF2227" s="382"/>
    </row>
    <row r="2228" spans="1:58" s="48" customFormat="1" ht="24.75" customHeight="1">
      <c r="B2228" s="54" t="str">
        <f>IF($C$1="ENG","ADJUSTABLE PANELS","ДОБІРНІ ПЛАНКИ")</f>
        <v>ДОБІРНІ ПЛАНКИ</v>
      </c>
      <c r="C2228" s="426"/>
      <c r="D2228" s="28"/>
      <c r="E2228" s="59"/>
      <c r="F2228" s="59"/>
      <c r="G2228" s="59"/>
      <c r="H2228" s="59"/>
      <c r="I2228" s="59"/>
      <c r="J2228" s="59"/>
      <c r="K2228" s="59"/>
      <c r="L2228" s="59"/>
      <c r="M2228" s="59"/>
      <c r="N2228" s="59"/>
      <c r="O2228" s="59"/>
      <c r="P2228" s="59"/>
      <c r="Q2228" s="59"/>
      <c r="R2228" s="59"/>
      <c r="S2228" s="59"/>
      <c r="T2228" s="59"/>
      <c r="U2228" s="59"/>
      <c r="V2228" s="59">
        <f t="shared" ref="V2228" si="283">V2231/100*30</f>
        <v>840</v>
      </c>
      <c r="W2228" s="59"/>
      <c r="AN2228" s="309"/>
      <c r="AP2228" s="30"/>
      <c r="AQ2228" s="56"/>
      <c r="AR2228" s="30"/>
      <c r="AS2228" s="56"/>
      <c r="AT2228" s="30"/>
      <c r="AV2228" s="1"/>
    </row>
    <row r="2229" spans="1:58" ht="34.5" customHeight="1">
      <c r="A2229" s="8"/>
      <c r="B2229" s="13" t="str">
        <f>IF($C$1="ENG","Panel (1 set) 60 mm","Планка (1 к-т) 60 мм")</f>
        <v>Планка (1 к-т) 60 мм</v>
      </c>
      <c r="C2229" s="427"/>
      <c r="D2229" s="15">
        <f>IF(AC2229="","",(1-$W$2)*(AC2229/1.2))</f>
        <v>425</v>
      </c>
      <c r="E2229" s="298">
        <f>IF($W$5=0.2,D2229*1.2,D2229)/$W$4</f>
        <v>510</v>
      </c>
      <c r="F2229" s="269">
        <f>IF(AD2229="","",(1-$W$2)*(AD2229/1.2))</f>
        <v>550</v>
      </c>
      <c r="G2229" s="64">
        <f>IF($W$5=0.2,F2229*1.2,F2229)/$W$4</f>
        <v>660</v>
      </c>
      <c r="H2229" s="15">
        <f>IF(AE2229="","",(1-$W$2)*(AE2229/1.2))</f>
        <v>491.66666666666669</v>
      </c>
      <c r="I2229" s="266">
        <f>IF($W$5=0.2,H2229*1.2,H2229)/$W$4</f>
        <v>590</v>
      </c>
      <c r="J2229" s="269">
        <f>IF(AF2229="","",(1-$W$2)*(AF2229/1.2))</f>
        <v>633.33333333333337</v>
      </c>
      <c r="K2229" s="64">
        <f>IF($W$5=0.2,J2229*1.2,J2229)/$W$4</f>
        <v>760</v>
      </c>
      <c r="L2229" s="15">
        <f>IF(AG2229="","",(1-$W$2)*(AG2229/1.2))</f>
        <v>575</v>
      </c>
      <c r="M2229" s="266">
        <f>IF($W$5=0.2,L2229*1.2,L2229)/$W$4</f>
        <v>690</v>
      </c>
      <c r="N2229" s="269">
        <f>IF(AH2229="","",(1-$W$2)*(AH2229/1.2))</f>
        <v>741.66666666666674</v>
      </c>
      <c r="O2229" s="64">
        <f>IF($W$5=0.2,N2229*1.2,N2229)/$W$4</f>
        <v>890.00000000000011</v>
      </c>
      <c r="P2229" s="15">
        <f>IF(AI2229="","",(1-$W$2)*(AI2229/1.2))</f>
        <v>658.33333333333337</v>
      </c>
      <c r="Q2229" s="266">
        <f>IF($W$5=0.2,P2229*1.2,P2229)/$W$4</f>
        <v>790</v>
      </c>
      <c r="R2229" s="269">
        <f>IF(AJ2229="","",(1-$W$2)*(AJ2229/1.2))</f>
        <v>858.33333333333337</v>
      </c>
      <c r="S2229" s="64">
        <f>IF($W$5=0.2,R2229*1.2,R2229)/$W$4</f>
        <v>1030</v>
      </c>
      <c r="T2229" s="15">
        <f>IF(AK2229="","",(1-$W$2)*(AK2229/1.2))</f>
        <v>716.66666666666674</v>
      </c>
      <c r="U2229" s="266">
        <f>IF($W$5=0.2,T2229*1.2,T2229)/$W$4</f>
        <v>860.00000000000011</v>
      </c>
      <c r="V2229" s="269">
        <f>IF(AL2229="","",(1-$W$2)*(AL2229/1.2))</f>
        <v>933.33333333333337</v>
      </c>
      <c r="W2229" s="64">
        <f>IF($W$5=0.2,V2229*1.2,V2229)/$W$4</f>
        <v>1120</v>
      </c>
      <c r="X2229" s="22"/>
      <c r="Y2229" s="22"/>
      <c r="Z2229" s="22"/>
      <c r="AA2229" s="22"/>
      <c r="AB2229" s="22"/>
      <c r="AC2229" s="331">
        <v>510</v>
      </c>
      <c r="AD2229" s="331">
        <v>660</v>
      </c>
      <c r="AE2229" s="331">
        <v>590</v>
      </c>
      <c r="AF2229" s="331">
        <v>760</v>
      </c>
      <c r="AG2229" s="331">
        <v>690</v>
      </c>
      <c r="AH2229" s="331">
        <v>890</v>
      </c>
      <c r="AI2229" s="331">
        <v>790</v>
      </c>
      <c r="AJ2229" s="331">
        <v>1030</v>
      </c>
      <c r="AK2229" s="331">
        <v>860</v>
      </c>
      <c r="AL2229" s="331">
        <v>1120</v>
      </c>
      <c r="AM2229" s="333">
        <v>510</v>
      </c>
      <c r="AN2229" s="309">
        <f>AM2229/AC2229-1</f>
        <v>0</v>
      </c>
      <c r="AO2229" s="333">
        <v>660</v>
      </c>
      <c r="AP2229" s="397">
        <f>AO2229/AD2229-1</f>
        <v>0</v>
      </c>
      <c r="AQ2229" s="333">
        <v>590</v>
      </c>
      <c r="AR2229" s="397">
        <f>AQ2229/AE2229-1</f>
        <v>0</v>
      </c>
      <c r="AS2229" s="333">
        <v>760</v>
      </c>
      <c r="AT2229" s="397">
        <f>AS2229/AF2229-1</f>
        <v>0</v>
      </c>
      <c r="AU2229" s="333">
        <v>690</v>
      </c>
      <c r="AV2229" s="397">
        <f>AU2229/AG2229-1</f>
        <v>0</v>
      </c>
      <c r="AW2229" s="1">
        <v>890</v>
      </c>
    </row>
    <row r="2230" spans="1:58" ht="34.5" customHeight="1">
      <c r="A2230" s="8"/>
      <c r="B2230" s="16" t="str">
        <f>IF($C$1="ENG","Panel (1 set) 110 mm","Планка (1 к-т) 110 мм")</f>
        <v>Планка (1 к-т) 110 мм</v>
      </c>
      <c r="C2230" s="429"/>
      <c r="D2230" s="18">
        <f>IF(AC2230="","",(1-$W$2)*(AC2230/1.2))</f>
        <v>658.33333333333337</v>
      </c>
      <c r="E2230" s="267">
        <f>IF($W$5=0.2,D2230*1.2,D2230)/$W$4</f>
        <v>790</v>
      </c>
      <c r="F2230" s="270">
        <f>IF(AD2230="","",(1-$W$2)*(AD2230/1.2))</f>
        <v>858.33333333333337</v>
      </c>
      <c r="G2230" s="66">
        <f>IF($W$5=0.2,F2230*1.2,F2230)/$W$4</f>
        <v>1030</v>
      </c>
      <c r="H2230" s="18">
        <f>IF(AE2230="","",(1-$W$2)*(AE2230/1.2))</f>
        <v>766.66666666666674</v>
      </c>
      <c r="I2230" s="267">
        <f>IF($W$5=0.2,H2230*1.2,H2230)/$W$4</f>
        <v>920.00000000000011</v>
      </c>
      <c r="J2230" s="270">
        <f>IF(AF2230="","",(1-$W$2)*(AF2230/1.2))</f>
        <v>958.33333333333337</v>
      </c>
      <c r="K2230" s="66">
        <f>IF($W$5=0.2,J2230*1.2,J2230)/$W$4</f>
        <v>1150</v>
      </c>
      <c r="L2230" s="18">
        <f>IF(AG2230="","",(1-$W$2)*(AG2230/1.2))</f>
        <v>866.66666666666674</v>
      </c>
      <c r="M2230" s="267">
        <f>IF($W$5=0.2,L2230*1.2,L2230)/$W$4</f>
        <v>1040</v>
      </c>
      <c r="N2230" s="270">
        <f>IF(AH2230="","",(1-$W$2)*(AH2230/1.2))</f>
        <v>1133.3333333333335</v>
      </c>
      <c r="O2230" s="66">
        <f>IF($W$5=0.2,N2230*1.2,N2230)/$W$4</f>
        <v>1360.0000000000002</v>
      </c>
      <c r="P2230" s="18">
        <f>IF(AI2230="","",(1-$W$2)*(AI2230/1.2))</f>
        <v>1016.6666666666667</v>
      </c>
      <c r="Q2230" s="267">
        <f>IF($W$5=0.2,P2230*1.2,P2230)/$W$4</f>
        <v>1220</v>
      </c>
      <c r="R2230" s="270">
        <f>IF(AJ2230="","",(1-$W$2)*(AJ2230/1.2))</f>
        <v>1325</v>
      </c>
      <c r="S2230" s="66">
        <f>IF($W$5=0.2,R2230*1.2,R2230)/$W$4</f>
        <v>1590</v>
      </c>
      <c r="T2230" s="18">
        <f>IF(AK2230="","",(1-$W$2)*(AK2230/1.2))</f>
        <v>1091.6666666666667</v>
      </c>
      <c r="U2230" s="267">
        <f>IF($W$5=0.2,T2230*1.2,T2230)/$W$4</f>
        <v>1310</v>
      </c>
      <c r="V2230" s="270">
        <f>IF(AL2230="","",(1-$W$2)*(AL2230/1.2))</f>
        <v>1425</v>
      </c>
      <c r="W2230" s="66">
        <f>IF($W$5=0.2,V2230*1.2,V2230)/$W$4</f>
        <v>1710</v>
      </c>
      <c r="X2230" s="22"/>
      <c r="Y2230" s="22"/>
      <c r="Z2230" s="22"/>
      <c r="AA2230" s="22"/>
      <c r="AB2230" s="22"/>
      <c r="AC2230" s="331">
        <v>790</v>
      </c>
      <c r="AD2230" s="331">
        <v>1030</v>
      </c>
      <c r="AE2230" s="331">
        <v>920</v>
      </c>
      <c r="AF2230" s="331">
        <v>1150</v>
      </c>
      <c r="AG2230" s="331">
        <v>1040</v>
      </c>
      <c r="AH2230" s="331">
        <v>1360</v>
      </c>
      <c r="AI2230" s="331">
        <v>1220</v>
      </c>
      <c r="AJ2230" s="331">
        <v>1590</v>
      </c>
      <c r="AK2230" s="331">
        <v>1310</v>
      </c>
      <c r="AL2230" s="331">
        <v>1710</v>
      </c>
      <c r="AM2230" s="333">
        <v>790</v>
      </c>
      <c r="AN2230" s="309">
        <f>AM2230/AC2230-1</f>
        <v>0</v>
      </c>
      <c r="AO2230" s="333">
        <v>1030</v>
      </c>
      <c r="AP2230" s="397">
        <f>AO2230/AD2230-1</f>
        <v>0</v>
      </c>
      <c r="AQ2230" s="333">
        <v>920</v>
      </c>
      <c r="AR2230" s="397">
        <f>AQ2230/AE2230-1</f>
        <v>0</v>
      </c>
      <c r="AS2230" s="333">
        <v>1150</v>
      </c>
      <c r="AT2230" s="397">
        <f>AS2230/AF2230-1</f>
        <v>0</v>
      </c>
      <c r="AU2230" s="333">
        <v>1040</v>
      </c>
      <c r="AV2230" s="397">
        <f>AU2230/AG2230-1</f>
        <v>0</v>
      </c>
      <c r="AW2230" s="1">
        <v>1360</v>
      </c>
    </row>
    <row r="2231" spans="1:58" ht="34.5" customHeight="1">
      <c r="A2231" s="8"/>
      <c r="B2231" s="23" t="str">
        <f>IF($C$1="ENG","Panel (1 set) 200 mm","Планка (1 к-т) 200 мм")</f>
        <v>Планка (1 к-т) 200 мм</v>
      </c>
      <c r="C2231" s="428"/>
      <c r="D2231" s="25">
        <f>IF(AC2231="","",(1-$W$2)*(AC2231/1.2))</f>
        <v>1283.3333333333335</v>
      </c>
      <c r="E2231" s="268">
        <f>IF($W$5=0.2,D2231*1.2,D2231)/$W$4</f>
        <v>1540.0000000000002</v>
      </c>
      <c r="F2231" s="271">
        <f>IF(AD2231="","",(1-$W$2)*(AD2231/1.2))</f>
        <v>1666.6666666666667</v>
      </c>
      <c r="G2231" s="69">
        <f>IF($W$5=0.2,F2231*1.2,F2231)/$W$4</f>
        <v>2000</v>
      </c>
      <c r="H2231" s="25">
        <f>IF(AE2231="","",(1-$W$2)*(AE2231/1.2))</f>
        <v>1475</v>
      </c>
      <c r="I2231" s="268">
        <f>IF($W$5=0.2,H2231*1.2,H2231)/$W$4</f>
        <v>1770</v>
      </c>
      <c r="J2231" s="271">
        <f>IF(AF2231="","",(1-$W$2)*(AF2231/1.2))</f>
        <v>1933.3333333333335</v>
      </c>
      <c r="K2231" s="69">
        <f>IF($W$5=0.2,J2231*1.2,J2231)/$W$4</f>
        <v>2320</v>
      </c>
      <c r="L2231" s="25">
        <f>IF(AG2231="","",(1-$W$2)*(AG2231/1.2))</f>
        <v>1750</v>
      </c>
      <c r="M2231" s="268">
        <f>IF($W$5=0.2,L2231*1.2,L2231)/$W$4</f>
        <v>2100</v>
      </c>
      <c r="N2231" s="271">
        <f>IF(AH2231="","",(1-$W$2)*(AH2231/1.2))</f>
        <v>2283.3333333333335</v>
      </c>
      <c r="O2231" s="69">
        <f>IF($W$5=0.2,N2231*1.2,N2231)/$W$4</f>
        <v>2740</v>
      </c>
      <c r="P2231" s="25">
        <f>IF(AI2231="","",(1-$W$2)*(AI2231/1.2))</f>
        <v>2016.6666666666667</v>
      </c>
      <c r="Q2231" s="268">
        <f>IF($W$5=0.2,P2231*1.2,P2231)/$W$4</f>
        <v>2420</v>
      </c>
      <c r="R2231" s="271">
        <f>IF(AJ2231="","",(1-$W$2)*(AJ2231/1.2))</f>
        <v>2625</v>
      </c>
      <c r="S2231" s="69">
        <f>IF($W$5=0.2,R2231*1.2,R2231)/$W$4</f>
        <v>3150</v>
      </c>
      <c r="T2231" s="25">
        <f>IF(AK2231="","",(1-$W$2)*(AK2231/1.2))</f>
        <v>2158.3333333333335</v>
      </c>
      <c r="U2231" s="268">
        <f>IF($W$5=0.2,T2231*1.2,T2231)/$W$4</f>
        <v>2590</v>
      </c>
      <c r="V2231" s="271">
        <f>IF(AL2231="","",(1-$W$2)*(AL2231/1.2))</f>
        <v>2800</v>
      </c>
      <c r="W2231" s="69">
        <f>IF($W$5=0.2,V2231*1.2,V2231)/$W$4</f>
        <v>3360</v>
      </c>
      <c r="X2231" s="22"/>
      <c r="Y2231" s="22"/>
      <c r="Z2231" s="22"/>
      <c r="AA2231" s="22"/>
      <c r="AB2231" s="22"/>
      <c r="AC2231" s="331">
        <v>1540</v>
      </c>
      <c r="AD2231" s="331">
        <v>2000</v>
      </c>
      <c r="AE2231" s="331">
        <v>1770</v>
      </c>
      <c r="AF2231" s="331">
        <v>2320</v>
      </c>
      <c r="AG2231" s="331">
        <v>2100</v>
      </c>
      <c r="AH2231" s="331">
        <v>2740</v>
      </c>
      <c r="AI2231" s="331">
        <v>2420</v>
      </c>
      <c r="AJ2231" s="331">
        <v>3150</v>
      </c>
      <c r="AK2231" s="331">
        <v>2590</v>
      </c>
      <c r="AL2231" s="331">
        <v>3360</v>
      </c>
      <c r="AM2231" s="333">
        <v>1540</v>
      </c>
      <c r="AN2231" s="309">
        <f>AM2231/AC2231-1</f>
        <v>0</v>
      </c>
      <c r="AO2231" s="333">
        <v>2000</v>
      </c>
      <c r="AP2231" s="397">
        <f>AO2231/AD2231-1</f>
        <v>0</v>
      </c>
      <c r="AQ2231" s="333">
        <v>1770</v>
      </c>
      <c r="AR2231" s="397">
        <f>AQ2231/AE2231-1</f>
        <v>0</v>
      </c>
      <c r="AS2231" s="333">
        <v>2320</v>
      </c>
      <c r="AT2231" s="397">
        <f>AS2231/AF2231-1</f>
        <v>0</v>
      </c>
      <c r="AU2231" s="333">
        <v>2100</v>
      </c>
      <c r="AV2231" s="397">
        <f>AU2231/AG2231-1</f>
        <v>0</v>
      </c>
      <c r="AW2231" s="1">
        <v>2740</v>
      </c>
    </row>
    <row r="2232" spans="1:58">
      <c r="C2232" s="244"/>
      <c r="D2232" s="26"/>
      <c r="E2232" s="57"/>
      <c r="F2232" s="10"/>
      <c r="G2232" s="86"/>
      <c r="H2232" s="10"/>
      <c r="I2232" s="83"/>
      <c r="J2232" s="8"/>
      <c r="K2232" s="83"/>
      <c r="L2232" s="48"/>
      <c r="M2232" s="48"/>
      <c r="N2232" s="48"/>
      <c r="O2232" s="48"/>
      <c r="P2232" s="48"/>
      <c r="Q2232" s="48"/>
      <c r="R2232" s="48"/>
      <c r="S2232" s="48"/>
    </row>
    <row r="2233" spans="1:58">
      <c r="B2233" s="211" t="str">
        <f>IF($C$1="ENG","For additonal charge:","Послуги за додаткову плату:")</f>
        <v>Послуги за додаткову плату:</v>
      </c>
      <c r="C2233" s="419"/>
      <c r="D2233" s="212"/>
      <c r="E2233" s="213"/>
      <c r="F2233" s="39"/>
      <c r="G2233" s="39"/>
      <c r="H2233" s="10"/>
      <c r="I2233" s="83"/>
      <c r="J2233" s="8"/>
      <c r="K2233" s="8"/>
      <c r="L2233" s="104"/>
      <c r="M2233" s="83"/>
      <c r="N2233" s="104"/>
      <c r="P2233" s="104"/>
      <c r="Q2233" s="83"/>
      <c r="R2233" s="104"/>
      <c r="U2233" s="83"/>
    </row>
    <row r="2234" spans="1:58" ht="5.0999999999999996" customHeight="1">
      <c r="B2234" s="27"/>
      <c r="C2234" s="244"/>
      <c r="D2234" s="26"/>
      <c r="E2234" s="57"/>
      <c r="F2234" s="26"/>
      <c r="G2234" s="26"/>
      <c r="H2234" s="10"/>
      <c r="I2234" s="8"/>
      <c r="J2234" s="8"/>
      <c r="K2234" s="8"/>
      <c r="M2234" s="8"/>
      <c r="Q2234" s="8"/>
      <c r="U2234" s="8"/>
    </row>
    <row r="2235" spans="1:58">
      <c r="B2235" s="568" t="str">
        <f>IF($C$1="ENG","third door hindge","третя завіса")</f>
        <v>третя завіса</v>
      </c>
      <c r="C2235" s="569"/>
      <c r="D2235" s="15">
        <f>IF(AC2235="","",(1-$W$2)*(AC2235/1.2))</f>
        <v>66.666666666666671</v>
      </c>
      <c r="E2235" s="64">
        <f>IF($W$5=0.2,D2235*1.2,D2235)/$W$4</f>
        <v>80</v>
      </c>
      <c r="F2235" s="26"/>
      <c r="G2235" s="26"/>
      <c r="H2235" s="10"/>
      <c r="I2235" s="83"/>
      <c r="J2235" s="8"/>
      <c r="K2235" s="26"/>
      <c r="L2235" s="104"/>
      <c r="M2235" s="83"/>
      <c r="N2235" s="104"/>
      <c r="O2235" s="26"/>
      <c r="P2235" s="104"/>
      <c r="Q2235" s="83"/>
      <c r="R2235" s="104"/>
      <c r="S2235" s="26"/>
      <c r="U2235" s="83"/>
      <c r="W2235" s="26"/>
      <c r="AC2235" s="297">
        <v>80</v>
      </c>
      <c r="AD2235" s="288"/>
      <c r="AE2235" s="288">
        <f>AD2235/AC2235-1</f>
        <v>-1</v>
      </c>
      <c r="AF2235" s="288"/>
      <c r="AG2235" s="288"/>
      <c r="AH2235" s="288"/>
      <c r="AI2235" s="288"/>
      <c r="AJ2235" s="288"/>
      <c r="AK2235" s="288"/>
      <c r="AL2235" s="288"/>
    </row>
    <row r="2236" spans="1:58">
      <c r="B2236" s="568" t="str">
        <f>IF($C$1="ENG","wooden door threshold","поріг сосновий")</f>
        <v>поріг сосновий</v>
      </c>
      <c r="C2236" s="569"/>
      <c r="D2236" s="25">
        <f>IF(AC2236="","",(1-$W$2)*(AC2236/1.2))</f>
        <v>458.33333333333337</v>
      </c>
      <c r="E2236" s="69">
        <f>IF($W$5=0.2,D2236*1.2,D2236)/$W$4</f>
        <v>550</v>
      </c>
      <c r="F2236" s="26"/>
      <c r="G2236" s="26"/>
      <c r="I2236" s="20"/>
      <c r="K2236" s="26"/>
      <c r="M2236" s="20"/>
      <c r="O2236" s="26"/>
      <c r="Q2236" s="20"/>
      <c r="S2236" s="26"/>
      <c r="U2236" s="20"/>
      <c r="W2236" s="26"/>
      <c r="AC2236" s="331">
        <v>550</v>
      </c>
      <c r="AD2236" s="288"/>
      <c r="AE2236" s="288">
        <f>AD2236/AC2236-1</f>
        <v>-1</v>
      </c>
      <c r="AF2236" s="288"/>
      <c r="AG2236" s="288"/>
      <c r="AH2236" s="288"/>
      <c r="AI2236" s="288"/>
      <c r="AJ2236" s="288"/>
      <c r="AK2236" s="288"/>
      <c r="AL2236" s="288"/>
    </row>
    <row r="2237" spans="1:58" ht="14.25" customHeight="1">
      <c r="M2237" s="20"/>
      <c r="Q2237" s="20"/>
      <c r="T2237" s="570" t="str">
        <f>IF($C$1="ENG",CONCATENATE("down to: ",B2287),CONCATENATE("вниз до: ",B2287))</f>
        <v>вниз до: Дверна коробка Verto-FIT</v>
      </c>
      <c r="U2237" s="570"/>
      <c r="V2237" s="570"/>
      <c r="W2237" s="570"/>
    </row>
    <row r="2238" spans="1:58" ht="14.25" customHeight="1">
      <c r="C2238" s="244"/>
      <c r="D2238" s="26"/>
      <c r="E2238" s="26"/>
      <c r="F2238" s="26"/>
      <c r="G2238" s="26"/>
      <c r="H2238" s="5"/>
      <c r="I2238" s="20"/>
      <c r="M2238" s="20"/>
      <c r="O2238" s="57"/>
      <c r="Q2238" s="20"/>
      <c r="S2238" s="57"/>
      <c r="T2238" s="33"/>
      <c r="U2238" s="20"/>
      <c r="V2238" s="33"/>
      <c r="W2238" s="33"/>
    </row>
    <row r="2239" spans="1:58" ht="14.25" customHeight="1">
      <c r="C2239" s="244"/>
      <c r="D2239" s="26"/>
      <c r="E2239" s="26"/>
      <c r="F2239" s="26"/>
      <c r="G2239" s="57"/>
      <c r="H2239" s="5"/>
      <c r="I2239" s="20"/>
      <c r="K2239" s="57"/>
      <c r="M2239" s="57"/>
      <c r="O2239" s="57"/>
      <c r="Q2239" s="57"/>
      <c r="S2239" s="57"/>
      <c r="T2239" s="33"/>
      <c r="U2239" s="33"/>
      <c r="V2239" s="33"/>
      <c r="W2239" s="57"/>
    </row>
    <row r="2240" spans="1:58" ht="14.25" customHeight="1">
      <c r="C2240" s="244"/>
      <c r="D2240" s="26"/>
      <c r="E2240" s="57"/>
      <c r="F2240" s="26"/>
      <c r="G2240" s="57"/>
      <c r="H2240" s="5"/>
      <c r="I2240" s="57"/>
      <c r="K2240" s="57"/>
      <c r="L2240" s="278"/>
      <c r="O2240" s="57"/>
      <c r="P2240" s="278"/>
      <c r="S2240" s="57"/>
      <c r="T2240" s="278"/>
      <c r="U2240" s="33"/>
      <c r="V2240" s="33"/>
      <c r="W2240" s="57"/>
      <c r="X2240" s="278"/>
      <c r="Y2240" s="278"/>
      <c r="Z2240" s="278"/>
      <c r="AA2240" s="278"/>
      <c r="AB2240" s="278"/>
    </row>
    <row r="2241" spans="1:58" ht="14.25" customHeight="1">
      <c r="C2241" s="244"/>
      <c r="D2241" s="26"/>
      <c r="E2241" s="26"/>
      <c r="F2241" s="26"/>
      <c r="G2241" s="57"/>
      <c r="H2241" s="278"/>
      <c r="K2241" s="57"/>
      <c r="L2241" s="278"/>
      <c r="O2241" s="26"/>
      <c r="P2241" s="278"/>
      <c r="S2241" s="26"/>
      <c r="T2241" s="278"/>
      <c r="U2241" s="33"/>
      <c r="V2241" s="33"/>
      <c r="W2241" s="26"/>
      <c r="X2241" s="278"/>
      <c r="Y2241" s="278"/>
      <c r="Z2241" s="278"/>
      <c r="AA2241" s="278"/>
      <c r="AB2241" s="278"/>
    </row>
    <row r="2242" spans="1:58" ht="14.25" customHeight="1">
      <c r="C2242" s="244"/>
      <c r="D2242" s="26"/>
      <c r="E2242" s="26"/>
      <c r="F2242" s="26"/>
      <c r="G2242" s="26"/>
      <c r="H2242" s="278"/>
      <c r="K2242" s="26"/>
      <c r="M2242" s="57"/>
      <c r="O2242" s="57"/>
      <c r="Q2242" s="57"/>
      <c r="S2242" s="57"/>
      <c r="T2242" s="33"/>
      <c r="U2242" s="33"/>
      <c r="V2242" s="33"/>
      <c r="W2242" s="57"/>
      <c r="X2242" s="5"/>
      <c r="Y2242" s="5"/>
      <c r="Z2242" s="5"/>
      <c r="AA2242" s="5"/>
      <c r="AB2242" s="5"/>
    </row>
    <row r="2243" spans="1:58" ht="14.25" customHeight="1">
      <c r="C2243" s="244"/>
      <c r="D2243" s="26"/>
      <c r="E2243" s="26"/>
      <c r="F2243" s="26"/>
      <c r="G2243" s="57"/>
      <c r="H2243" s="5"/>
      <c r="I2243" s="57"/>
      <c r="K2243" s="57"/>
      <c r="L2243" s="278"/>
      <c r="O2243" s="57"/>
      <c r="P2243" s="278"/>
      <c r="S2243" s="57"/>
      <c r="T2243" s="278"/>
      <c r="U2243" s="33"/>
      <c r="V2243" s="33"/>
      <c r="W2243" s="57"/>
      <c r="X2243" s="278"/>
      <c r="Y2243" s="278"/>
      <c r="Z2243" s="278"/>
      <c r="AA2243" s="278"/>
      <c r="AB2243" s="278"/>
    </row>
    <row r="2244" spans="1:58" ht="14.25" customHeight="1">
      <c r="C2244" s="244"/>
      <c r="D2244" s="26"/>
      <c r="E2244" s="26"/>
      <c r="F2244" s="26"/>
      <c r="G2244" s="57"/>
      <c r="H2244" s="278"/>
      <c r="K2244" s="57"/>
      <c r="L2244" s="278"/>
      <c r="O2244" s="26"/>
      <c r="P2244" s="278"/>
      <c r="S2244" s="26"/>
      <c r="T2244" s="278"/>
      <c r="U2244" s="33"/>
      <c r="V2244" s="33"/>
      <c r="W2244" s="26"/>
      <c r="X2244" s="278"/>
      <c r="Y2244" s="278"/>
      <c r="Z2244" s="278"/>
      <c r="AA2244" s="278"/>
      <c r="AB2244" s="278"/>
    </row>
    <row r="2245" spans="1:58" ht="14.25" customHeight="1">
      <c r="C2245" s="244"/>
      <c r="D2245" s="26"/>
      <c r="E2245" s="26"/>
      <c r="F2245" s="26"/>
      <c r="G2245" s="26"/>
      <c r="H2245" s="278"/>
      <c r="K2245" s="26"/>
    </row>
    <row r="2246" spans="1:58" ht="14.25" customHeight="1">
      <c r="C2246" s="244"/>
      <c r="D2246" s="26"/>
      <c r="E2246" s="26"/>
      <c r="F2246" s="26"/>
      <c r="G2246" s="26"/>
      <c r="H2246" s="5"/>
    </row>
    <row r="2247" spans="1:58" ht="14.25" customHeight="1">
      <c r="C2247" s="244"/>
      <c r="D2247" s="26"/>
      <c r="E2247" s="26"/>
      <c r="F2247" s="26"/>
      <c r="G2247" s="26"/>
      <c r="H2247" s="5"/>
    </row>
    <row r="2248" spans="1:58" ht="14.25" customHeight="1">
      <c r="C2248" s="244"/>
      <c r="D2248" s="26"/>
      <c r="E2248" s="26"/>
      <c r="F2248" s="26"/>
      <c r="G2248" s="26"/>
      <c r="H2248" s="5"/>
    </row>
    <row r="2249" spans="1:58" ht="14.25" customHeight="1">
      <c r="C2249" s="244"/>
      <c r="D2249" s="26"/>
      <c r="E2249" s="26"/>
      <c r="F2249" s="26"/>
      <c r="G2249" s="26"/>
      <c r="H2249" s="5"/>
    </row>
    <row r="2250" spans="1:58" ht="14.25" hidden="1" customHeight="1">
      <c r="C2250" s="244"/>
      <c r="D2250" s="26"/>
      <c r="E2250" s="26"/>
      <c r="F2250" s="26"/>
      <c r="G2250" s="26"/>
      <c r="H2250" s="5"/>
    </row>
    <row r="2251" spans="1:58" s="8" customFormat="1" hidden="1">
      <c r="B2251" s="549" t="str">
        <f>TITLE!C41</f>
        <v>Дверна коробка STANDARD - Алюм</v>
      </c>
      <c r="C2251" s="549"/>
      <c r="D2251" s="117"/>
      <c r="E2251" s="551" t="str">
        <f>IF($C$1="ENG","For Door Leafs without Rebbit","Для Дверних Полотен без Фальця")</f>
        <v>Для Дверних Полотен без Фальця</v>
      </c>
      <c r="F2251" s="551"/>
      <c r="G2251" s="551"/>
      <c r="H2251" s="551"/>
      <c r="I2251" s="551"/>
      <c r="J2251" s="551"/>
      <c r="K2251" s="551"/>
      <c r="L2251" s="552"/>
      <c r="M2251" s="552"/>
      <c r="N2251" s="552"/>
      <c r="O2251" s="552"/>
      <c r="P2251" s="552"/>
      <c r="Q2251" s="552"/>
      <c r="R2251" s="552"/>
      <c r="S2251" s="552"/>
      <c r="T2251" s="544" t="str">
        <f>IF($C$1="ENG",CONCATENATE("up to: ",B2192),CONCATENATE("вгору до: ",B2192))</f>
        <v xml:space="preserve">вгору до: </v>
      </c>
      <c r="U2251" s="544"/>
      <c r="V2251" s="544"/>
      <c r="W2251" s="544"/>
      <c r="AN2251" s="279"/>
      <c r="AO2251" s="279"/>
      <c r="AP2251" s="279"/>
      <c r="AQ2251" s="279"/>
      <c r="AR2251" s="279"/>
      <c r="AS2251" s="279"/>
      <c r="AT2251" s="279"/>
    </row>
    <row r="2252" spans="1:58" s="8" customFormat="1" ht="5.0999999999999996" hidden="1" customHeight="1">
      <c r="C2252" s="422"/>
      <c r="L2252" s="150"/>
      <c r="M2252" s="150"/>
      <c r="N2252" s="150"/>
      <c r="O2252" s="150"/>
      <c r="P2252" s="150"/>
      <c r="Q2252" s="150"/>
      <c r="R2252" s="150"/>
      <c r="S2252" s="150"/>
      <c r="T2252" s="151"/>
      <c r="U2252" s="151"/>
      <c r="V2252" s="151"/>
      <c r="W2252" s="151"/>
      <c r="AN2252" s="279"/>
      <c r="AO2252" s="279"/>
      <c r="AP2252" s="279"/>
      <c r="AQ2252" s="279"/>
      <c r="AR2252" s="279"/>
      <c r="AS2252" s="279"/>
      <c r="AT2252" s="279"/>
    </row>
    <row r="2253" spans="1:58" ht="12.75" hidden="1" customHeight="1">
      <c r="A2253" s="8"/>
      <c r="B2253" s="306" t="str">
        <f>IF($C$1="ENG","model","модель")</f>
        <v>модель</v>
      </c>
      <c r="C2253" s="121" t="str">
        <f>IF($C$1="ENG","cover:","покриття:")</f>
        <v>покриття:</v>
      </c>
      <c r="D2253" s="538" t="s">
        <v>68</v>
      </c>
      <c r="E2253" s="553"/>
      <c r="F2253" s="553"/>
      <c r="G2253" s="539"/>
      <c r="H2253" s="574"/>
      <c r="I2253" s="572"/>
      <c r="J2253" s="572"/>
      <c r="K2253" s="572"/>
      <c r="L2253" s="572"/>
      <c r="M2253" s="572"/>
      <c r="N2253" s="572"/>
      <c r="O2253" s="572"/>
      <c r="P2253" s="572"/>
      <c r="Q2253" s="572"/>
      <c r="R2253" s="572"/>
      <c r="S2253" s="572"/>
      <c r="T2253" s="572"/>
      <c r="U2253" s="572"/>
      <c r="V2253" s="572"/>
      <c r="W2253" s="572"/>
      <c r="AE2253" s="382">
        <f>AE2255/AC2255-1</f>
        <v>-1</v>
      </c>
      <c r="AF2253" s="382"/>
      <c r="AG2253" s="382" t="e">
        <f>AG2255/AE2255-1</f>
        <v>#DIV/0!</v>
      </c>
    </row>
    <row r="2254" spans="1:58" ht="12.75" hidden="1" customHeight="1">
      <c r="A2254" s="8"/>
      <c r="B2254" s="308"/>
      <c r="C2254" s="123" t="str">
        <f>IF($C$1="ENG","type:","виконання:")</f>
        <v>виконання:</v>
      </c>
      <c r="D2254" s="542" t="str">
        <f>IF($C$1="ENG","aluminum anodizing","анодований алюміній")</f>
        <v>анодований алюміній</v>
      </c>
      <c r="E2254" s="547"/>
      <c r="F2254" s="567" t="str">
        <f>IF($C$1="ENG","
black aluminum","чорний алюміній")</f>
        <v>чорний алюміній</v>
      </c>
      <c r="G2254" s="543"/>
      <c r="H2254" s="575"/>
      <c r="I2254" s="565"/>
      <c r="J2254" s="565"/>
      <c r="K2254" s="565"/>
      <c r="L2254" s="565"/>
      <c r="M2254" s="565"/>
      <c r="N2254" s="565"/>
      <c r="O2254" s="565"/>
      <c r="P2254" s="565"/>
      <c r="Q2254" s="565"/>
      <c r="R2254" s="565"/>
      <c r="S2254" s="565"/>
      <c r="T2254" s="565"/>
      <c r="U2254" s="565"/>
      <c r="V2254" s="565"/>
      <c r="W2254" s="565"/>
      <c r="AR2254" s="382"/>
    </row>
    <row r="2255" spans="1:58" ht="34.5" hidden="1" customHeight="1">
      <c r="A2255" s="8"/>
      <c r="B2255" s="497" t="str">
        <f>IF($C$1="ENG","concealed door frame 60mm","Коробка прихованого монтажу 60мм")</f>
        <v>Коробка прихованого монтажу 60мм</v>
      </c>
      <c r="C2255" s="326"/>
      <c r="D2255" s="51">
        <f>IF(AC2255="","",(1-$W$2)*(AC2255/1.2))</f>
        <v>11608.333333333334</v>
      </c>
      <c r="E2255" s="495">
        <f>IF($W$5=0.2,D2255*1.2,D2255)/$W$4</f>
        <v>13930</v>
      </c>
      <c r="F2255" s="496">
        <f>IF(AD2255="","",(1-$W$2)*(AD2255/1.2))</f>
        <v>12441.666666666668</v>
      </c>
      <c r="G2255" s="84">
        <f>IF($W$5=0.2,F2255*1.2,F2255)/$W$4</f>
        <v>14930</v>
      </c>
      <c r="H2255" s="65"/>
      <c r="I2255" s="59"/>
      <c r="J2255" s="28"/>
      <c r="K2255" s="59"/>
      <c r="L2255" s="28"/>
      <c r="M2255" s="59"/>
      <c r="N2255" s="28"/>
      <c r="O2255" s="59"/>
      <c r="P2255" s="28"/>
      <c r="Q2255" s="59"/>
      <c r="R2255" s="28"/>
      <c r="S2255" s="59"/>
      <c r="T2255" s="28"/>
      <c r="U2255" s="59"/>
      <c r="V2255" s="28"/>
      <c r="W2255" s="59"/>
      <c r="X2255" s="22"/>
      <c r="Y2255" s="22"/>
      <c r="Z2255" s="22"/>
      <c r="AA2255" s="22"/>
      <c r="AB2255" s="22"/>
      <c r="AC2255" s="391">
        <v>13930</v>
      </c>
      <c r="AD2255" s="392">
        <v>14930</v>
      </c>
      <c r="AE2255" s="393"/>
      <c r="AF2255" s="392"/>
      <c r="AG2255" s="391"/>
      <c r="AH2255" s="392"/>
      <c r="AI2255" s="391"/>
      <c r="AJ2255" s="392"/>
      <c r="AK2255" s="391"/>
      <c r="AL2255" s="392"/>
      <c r="AM2255" s="333"/>
      <c r="AN2255" s="309"/>
      <c r="AO2255" s="333"/>
      <c r="AP2255" s="309"/>
      <c r="AQ2255" s="333"/>
      <c r="AR2255" s="309"/>
      <c r="AS2255" s="333"/>
      <c r="AT2255" s="309"/>
      <c r="AU2255" s="333"/>
      <c r="AV2255" s="309"/>
      <c r="AW2255" s="333"/>
      <c r="AX2255" s="309"/>
      <c r="AY2255" s="333"/>
      <c r="AZ2255" s="309"/>
      <c r="BA2255" s="333"/>
      <c r="BB2255" s="309"/>
      <c r="BC2255" s="333"/>
      <c r="BD2255" s="309"/>
      <c r="BE2255" s="333"/>
      <c r="BF2255" s="309"/>
    </row>
    <row r="2256" spans="1:58" ht="14.25" hidden="1" customHeight="1">
      <c r="C2256" s="244"/>
      <c r="D2256" s="26"/>
      <c r="E2256" s="26"/>
      <c r="F2256" s="26"/>
      <c r="G2256" s="26"/>
      <c r="H2256" s="5"/>
    </row>
    <row r="2257" spans="2:38" hidden="1">
      <c r="B2257" s="211" t="str">
        <f>IF($C$1="ENG","For additonal charge:","Послуги за додаткову плату:")</f>
        <v>Послуги за додаткову плату:</v>
      </c>
      <c r="C2257" s="419"/>
      <c r="D2257" s="212"/>
      <c r="E2257" s="213"/>
      <c r="F2257" s="39"/>
      <c r="G2257" s="39"/>
      <c r="H2257" s="10"/>
      <c r="I2257" s="83"/>
      <c r="J2257" s="8"/>
      <c r="K2257" s="8"/>
      <c r="L2257" s="104"/>
      <c r="N2257" s="104"/>
      <c r="P2257" s="104"/>
      <c r="R2257" s="104"/>
      <c r="U2257" s="20"/>
      <c r="W2257" s="20"/>
    </row>
    <row r="2258" spans="2:38" ht="5.0999999999999996" hidden="1" customHeight="1">
      <c r="B2258" s="27"/>
      <c r="C2258" s="244"/>
      <c r="D2258" s="26"/>
      <c r="E2258" s="57"/>
      <c r="F2258" s="26"/>
      <c r="G2258" s="26"/>
      <c r="H2258" s="10"/>
      <c r="I2258" s="8"/>
      <c r="J2258" s="8"/>
      <c r="K2258" s="8"/>
      <c r="U2258" s="20"/>
      <c r="W2258" s="20"/>
    </row>
    <row r="2259" spans="2:38" hidden="1">
      <c r="B2259" s="568" t="str">
        <f>IF($C$1="ENG","hidden 3D door hindge","прихована 3D завіса хром/чорн.")</f>
        <v>прихована 3D завіса хром/чорн.</v>
      </c>
      <c r="C2259" s="569"/>
      <c r="D2259" s="51">
        <f>IF(AC2259="","",(1-$W$2)*(AC2259/1.2))</f>
        <v>741.66666666666674</v>
      </c>
      <c r="E2259" s="84">
        <f>IF($W$5=0.2,D2259*1.2,D2259)/$W$4</f>
        <v>890.00000000000011</v>
      </c>
      <c r="F2259" s="26"/>
      <c r="G2259" s="26"/>
      <c r="H2259" s="10"/>
      <c r="I2259" s="83"/>
      <c r="J2259" s="8"/>
      <c r="K2259" s="83"/>
      <c r="U2259" s="20"/>
      <c r="W2259" s="20"/>
      <c r="AC2259" s="297">
        <v>890</v>
      </c>
      <c r="AD2259" s="385"/>
      <c r="AE2259" s="30"/>
      <c r="AF2259" s="288"/>
      <c r="AG2259" s="288"/>
      <c r="AH2259" s="288"/>
      <c r="AI2259" s="288"/>
      <c r="AJ2259" s="288"/>
      <c r="AK2259" s="288"/>
      <c r="AL2259" s="288"/>
    </row>
    <row r="2260" spans="2:38" ht="14.25" hidden="1" customHeight="1">
      <c r="C2260" s="244"/>
      <c r="D2260" s="26"/>
      <c r="E2260" s="26"/>
      <c r="F2260" s="26"/>
      <c r="G2260" s="26"/>
      <c r="H2260" s="5"/>
    </row>
    <row r="2261" spans="2:38" ht="14.25" hidden="1" customHeight="1">
      <c r="C2261" s="244"/>
      <c r="D2261" s="26"/>
      <c r="E2261" s="26"/>
      <c r="F2261" s="26"/>
      <c r="G2261" s="26"/>
      <c r="H2261" s="5"/>
    </row>
    <row r="2262" spans="2:38" ht="14.25" customHeight="1">
      <c r="C2262" s="244"/>
      <c r="D2262" s="26"/>
      <c r="E2262" s="26"/>
      <c r="F2262" s="26"/>
      <c r="G2262" s="26"/>
      <c r="H2262" s="5"/>
    </row>
    <row r="2263" spans="2:38" ht="14.25" customHeight="1">
      <c r="C2263" s="244"/>
      <c r="D2263" s="26"/>
      <c r="E2263" s="26"/>
      <c r="F2263" s="26"/>
      <c r="G2263" s="26"/>
      <c r="H2263" s="5"/>
    </row>
    <row r="2264" spans="2:38" ht="14.25" customHeight="1">
      <c r="C2264" s="244"/>
      <c r="D2264" s="26"/>
      <c r="E2264" s="26"/>
      <c r="F2264" s="26"/>
      <c r="G2264" s="26"/>
      <c r="H2264" s="5"/>
    </row>
    <row r="2265" spans="2:38" ht="14.25" customHeight="1">
      <c r="C2265" s="244"/>
      <c r="D2265" s="26"/>
      <c r="E2265" s="26"/>
      <c r="F2265" s="26"/>
      <c r="G2265" s="26"/>
      <c r="H2265" s="5"/>
    </row>
    <row r="2266" spans="2:38" ht="14.25" customHeight="1">
      <c r="C2266" s="244"/>
      <c r="D2266" s="26"/>
      <c r="E2266" s="26"/>
      <c r="F2266" s="26"/>
      <c r="G2266" s="26"/>
      <c r="H2266" s="5"/>
    </row>
    <row r="2267" spans="2:38" ht="14.25" customHeight="1">
      <c r="C2267" s="244"/>
      <c r="D2267" s="26"/>
      <c r="E2267" s="26"/>
      <c r="F2267" s="26"/>
      <c r="G2267" s="26"/>
      <c r="H2267" s="5"/>
    </row>
    <row r="2268" spans="2:38" ht="14.25" customHeight="1">
      <c r="C2268" s="244"/>
      <c r="D2268" s="26"/>
      <c r="E2268" s="26"/>
      <c r="F2268" s="26"/>
      <c r="G2268" s="26"/>
      <c r="H2268" s="5"/>
    </row>
    <row r="2269" spans="2:38" ht="14.25" customHeight="1">
      <c r="C2269" s="244"/>
      <c r="D2269" s="26"/>
      <c r="E2269" s="26"/>
      <c r="F2269" s="26"/>
      <c r="G2269" s="26"/>
      <c r="H2269" s="5"/>
    </row>
    <row r="2270" spans="2:38" ht="14.25" customHeight="1">
      <c r="C2270" s="244"/>
      <c r="D2270" s="26"/>
      <c r="E2270" s="26"/>
      <c r="F2270" s="26"/>
      <c r="G2270" s="26"/>
      <c r="H2270" s="5"/>
    </row>
    <row r="2271" spans="2:38" ht="14.25" customHeight="1">
      <c r="C2271" s="244"/>
      <c r="D2271" s="26"/>
      <c r="E2271" s="26"/>
      <c r="F2271" s="26"/>
      <c r="G2271" s="26"/>
      <c r="H2271" s="5"/>
    </row>
    <row r="2272" spans="2:38" ht="14.25" customHeight="1">
      <c r="C2272" s="244"/>
      <c r="D2272" s="26"/>
      <c r="E2272" s="26"/>
      <c r="F2272" s="26"/>
      <c r="G2272" s="26"/>
      <c r="H2272" s="5"/>
    </row>
    <row r="2273" spans="2:46" ht="14.25" customHeight="1">
      <c r="C2273" s="244"/>
      <c r="D2273" s="26"/>
      <c r="E2273" s="26"/>
      <c r="F2273" s="26"/>
      <c r="G2273" s="57"/>
      <c r="H2273" s="5"/>
      <c r="K2273" s="57"/>
      <c r="O2273" s="57"/>
      <c r="S2273" s="57"/>
      <c r="W2273" s="57"/>
    </row>
    <row r="2274" spans="2:46" ht="14.25" customHeight="1">
      <c r="C2274" s="244"/>
      <c r="D2274" s="26"/>
      <c r="E2274" s="26"/>
      <c r="F2274" s="26"/>
      <c r="G2274" s="57"/>
      <c r="H2274" s="5"/>
      <c r="K2274" s="57"/>
      <c r="O2274" s="57"/>
      <c r="S2274" s="57"/>
      <c r="W2274" s="57"/>
    </row>
    <row r="2275" spans="2:46" ht="14.25" customHeight="1">
      <c r="C2275" s="244"/>
      <c r="D2275" s="26"/>
      <c r="E2275" s="26"/>
      <c r="F2275" s="26"/>
      <c r="G2275" s="57"/>
      <c r="H2275" s="5"/>
      <c r="K2275" s="57"/>
      <c r="O2275" s="57"/>
      <c r="S2275" s="57"/>
      <c r="W2275" s="57"/>
    </row>
    <row r="2276" spans="2:46" ht="14.25" customHeight="1">
      <c r="C2276" s="244"/>
      <c r="D2276" s="26"/>
      <c r="E2276" s="26"/>
      <c r="F2276" s="26"/>
      <c r="G2276" s="57"/>
      <c r="H2276" s="5"/>
      <c r="K2276" s="57"/>
      <c r="O2276" s="57"/>
      <c r="S2276" s="57"/>
      <c r="W2276" s="57"/>
    </row>
    <row r="2277" spans="2:46" ht="14.25" customHeight="1">
      <c r="C2277" s="244"/>
      <c r="D2277" s="26"/>
      <c r="E2277" s="26"/>
      <c r="F2277" s="26"/>
      <c r="G2277" s="57"/>
      <c r="H2277" s="5"/>
      <c r="K2277" s="57"/>
      <c r="O2277" s="57"/>
      <c r="S2277" s="57"/>
      <c r="W2277" s="57"/>
    </row>
    <row r="2278" spans="2:46" ht="14.25" customHeight="1">
      <c r="C2278" s="244"/>
      <c r="D2278" s="26"/>
      <c r="E2278" s="26"/>
      <c r="F2278" s="26"/>
      <c r="G2278" s="57"/>
      <c r="H2278" s="5"/>
      <c r="K2278" s="57"/>
      <c r="O2278" s="57"/>
      <c r="S2278" s="57"/>
      <c r="W2278" s="57"/>
    </row>
    <row r="2279" spans="2:46" ht="14.25" customHeight="1">
      <c r="C2279" s="244"/>
      <c r="D2279" s="26"/>
      <c r="E2279" s="26"/>
      <c r="F2279" s="26"/>
      <c r="G2279" s="57"/>
      <c r="H2279" s="5"/>
      <c r="K2279" s="57"/>
      <c r="O2279" s="57"/>
      <c r="S2279" s="57"/>
      <c r="W2279" s="57"/>
    </row>
    <row r="2280" spans="2:46" ht="14.25" customHeight="1">
      <c r="C2280" s="244"/>
      <c r="D2280" s="26"/>
      <c r="E2280" s="26"/>
      <c r="F2280" s="26"/>
      <c r="G2280" s="57"/>
      <c r="H2280" s="5"/>
      <c r="K2280" s="57"/>
      <c r="O2280" s="57"/>
      <c r="S2280" s="57"/>
      <c r="W2280" s="57"/>
    </row>
    <row r="2281" spans="2:46" ht="14.25" customHeight="1">
      <c r="C2281" s="244"/>
      <c r="D2281" s="26"/>
      <c r="E2281" s="26"/>
      <c r="F2281" s="26"/>
      <c r="G2281" s="57"/>
      <c r="H2281" s="5"/>
      <c r="K2281" s="57"/>
      <c r="O2281" s="57"/>
      <c r="S2281" s="57"/>
      <c r="W2281" s="57"/>
    </row>
    <row r="2282" spans="2:46" ht="14.25" customHeight="1">
      <c r="C2282" s="244"/>
      <c r="D2282" s="26"/>
      <c r="E2282" s="26"/>
      <c r="F2282" s="26"/>
      <c r="G2282" s="57"/>
      <c r="H2282" s="5"/>
      <c r="K2282" s="57"/>
      <c r="O2282" s="57"/>
      <c r="S2282" s="57"/>
      <c r="W2282" s="57"/>
    </row>
    <row r="2283" spans="2:46" ht="14.25" customHeight="1">
      <c r="C2283" s="244"/>
      <c r="D2283" s="26"/>
      <c r="E2283" s="26"/>
      <c r="F2283" s="26"/>
      <c r="G2283" s="57"/>
      <c r="H2283" s="5"/>
      <c r="K2283" s="57"/>
      <c r="O2283" s="57"/>
      <c r="S2283" s="57"/>
      <c r="W2283" s="57"/>
    </row>
    <row r="2284" spans="2:46" ht="14.25" customHeight="1">
      <c r="C2284" s="244"/>
      <c r="D2284" s="26"/>
      <c r="E2284" s="26"/>
      <c r="F2284" s="26"/>
      <c r="G2284" s="57"/>
      <c r="H2284" s="5"/>
      <c r="K2284" s="57"/>
      <c r="O2284" s="57"/>
      <c r="S2284" s="57"/>
      <c r="W2284" s="57"/>
    </row>
    <row r="2285" spans="2:46" ht="14.25" customHeight="1">
      <c r="C2285" s="244"/>
      <c r="D2285" s="26"/>
      <c r="E2285" s="57"/>
      <c r="F2285" s="26"/>
      <c r="G2285" s="57"/>
      <c r="H2285" s="5"/>
      <c r="K2285" s="57"/>
      <c r="O2285" s="57"/>
      <c r="S2285" s="57"/>
      <c r="W2285" s="57"/>
    </row>
    <row r="2286" spans="2:46" ht="14.25" customHeight="1">
      <c r="C2286" s="244"/>
      <c r="D2286" s="58"/>
      <c r="E2286" s="58"/>
      <c r="F2286" s="58"/>
      <c r="G2286" s="58"/>
      <c r="H2286" s="58"/>
      <c r="I2286" s="58"/>
      <c r="J2286" s="58"/>
      <c r="K2286" s="58"/>
      <c r="L2286" s="58"/>
      <c r="M2286" s="58"/>
      <c r="N2286" s="58"/>
      <c r="O2286" s="58"/>
      <c r="P2286" s="58"/>
      <c r="Q2286" s="58"/>
      <c r="R2286" s="58"/>
      <c r="S2286" s="58"/>
      <c r="T2286" s="58"/>
      <c r="U2286" s="58"/>
      <c r="V2286" s="58">
        <f t="shared" ref="V2286" si="284">V2300/100*40</f>
        <v>2806.666666666667</v>
      </c>
      <c r="W2286" s="58"/>
    </row>
    <row r="2287" spans="2:46" s="8" customFormat="1">
      <c r="B2287" s="549" t="str">
        <f>TITLE!$C$42</f>
        <v>Дверна коробка Verto-FIT</v>
      </c>
      <c r="C2287" s="550"/>
      <c r="D2287" s="117"/>
      <c r="E2287" s="551" t="str">
        <f>IF($C$1="ENG","For Door Leafs with Rebbit","Для Дверних Полотен з Фальцем")</f>
        <v>Для Дверних Полотен з Фальцем</v>
      </c>
      <c r="F2287" s="551"/>
      <c r="G2287" s="551"/>
      <c r="H2287" s="551"/>
      <c r="I2287" s="551"/>
      <c r="J2287" s="551"/>
      <c r="K2287" s="551"/>
      <c r="L2287" s="552"/>
      <c r="M2287" s="552"/>
      <c r="N2287" s="552"/>
      <c r="O2287" s="552"/>
      <c r="P2287" s="552"/>
      <c r="Q2287" s="552"/>
      <c r="R2287" s="552"/>
      <c r="S2287" s="552"/>
      <c r="T2287" s="544" t="str">
        <f>IF($C$1="ENG",CONCATENATE("up to: ",B2219),CONCATENATE("вгору до: ",B2219))</f>
        <v>вгору до: Дверна коробка STANDARD</v>
      </c>
      <c r="U2287" s="544"/>
      <c r="V2287" s="544"/>
      <c r="W2287" s="544"/>
      <c r="AC2287" s="1"/>
      <c r="AF2287" s="1"/>
      <c r="AN2287" s="279"/>
      <c r="AO2287" s="279"/>
      <c r="AP2287" s="279"/>
      <c r="AQ2287" s="279"/>
      <c r="AR2287" s="279"/>
      <c r="AS2287" s="279"/>
      <c r="AT2287" s="279"/>
    </row>
    <row r="2288" spans="2:46" s="8" customFormat="1" ht="5.0999999999999996" customHeight="1">
      <c r="C2288" s="422"/>
      <c r="T2288" s="115"/>
      <c r="U2288" s="115"/>
      <c r="V2288" s="115"/>
      <c r="W2288" s="115"/>
      <c r="AC2288" s="1"/>
      <c r="AF2288" s="1"/>
      <c r="AN2288" s="279"/>
      <c r="AO2288" s="279"/>
      <c r="AP2288" s="279"/>
      <c r="AQ2288" s="279"/>
      <c r="AR2288" s="279"/>
      <c r="AS2288" s="279"/>
      <c r="AT2288" s="279"/>
    </row>
    <row r="2289" spans="1:58" ht="12.75" customHeight="1">
      <c r="A2289" s="8"/>
      <c r="B2289" s="306" t="str">
        <f>IF($C$1="ENG","model","модель")</f>
        <v>модель</v>
      </c>
      <c r="C2289" s="121" t="str">
        <f>IF($C$1="ENG","cover:","покриття:")</f>
        <v>покриття:</v>
      </c>
      <c r="D2289" s="538" t="str">
        <f>IF($C$1="ENG","SIMPLEX / VERTO-CELL / ","SIMPLEX / VERTO-CELL ")</f>
        <v xml:space="preserve">SIMPLEX / VERTO-CELL </v>
      </c>
      <c r="E2289" s="553"/>
      <c r="F2289" s="553"/>
      <c r="G2289" s="539"/>
      <c r="H2289" s="538" t="str">
        <f>IF($C$1="ENG","UNI-MAT","UNI-MAT")</f>
        <v>UNI-MAT</v>
      </c>
      <c r="I2289" s="553"/>
      <c r="J2289" s="553"/>
      <c r="K2289" s="539"/>
      <c r="L2289" s="538" t="str">
        <f>IF($C$1="ENG","RESIST","RESIST")</f>
        <v>RESIST</v>
      </c>
      <c r="M2289" s="553"/>
      <c r="N2289" s="553"/>
      <c r="O2289" s="539"/>
      <c r="P2289" s="538" t="str">
        <f>IF($C$1="ENG","Verto LINE-3D","Verto LINE-3D")</f>
        <v>Verto LINE-3D</v>
      </c>
      <c r="Q2289" s="553"/>
      <c r="R2289" s="553"/>
      <c r="S2289" s="539"/>
      <c r="T2289" s="538" t="str">
        <f>IF($C$1="ENG","ECO Shpon / LOFT","ЕКО Шпон / LOFT")</f>
        <v>ЕКО Шпон / LOFT</v>
      </c>
      <c r="U2289" s="553"/>
      <c r="V2289" s="553"/>
      <c r="W2289" s="539"/>
      <c r="AM2289" s="383"/>
      <c r="AO2289" s="382"/>
    </row>
    <row r="2290" spans="1:58" ht="12.75" customHeight="1">
      <c r="A2290" s="8"/>
      <c r="B2290" s="307"/>
      <c r="C2290" s="123" t="str">
        <f>IF($C$1="ENG","type:","виконання:")</f>
        <v>виконання:</v>
      </c>
      <c r="D2290" s="542" t="str">
        <f>IF($C$1="ENG","single leaf","одностулкове")</f>
        <v>одностулкове</v>
      </c>
      <c r="E2290" s="547"/>
      <c r="F2290" s="567" t="str">
        <f>IF($C$1="ENG","double leaf","двостулкові")</f>
        <v>двостулкові</v>
      </c>
      <c r="G2290" s="543"/>
      <c r="H2290" s="542" t="str">
        <f>IF($C$1="ENG","single leaf","одностулкове")</f>
        <v>одностулкове</v>
      </c>
      <c r="I2290" s="547"/>
      <c r="J2290" s="567" t="str">
        <f>IF($C$1="ENG","double leaf","двостулкові")</f>
        <v>двостулкові</v>
      </c>
      <c r="K2290" s="543"/>
      <c r="L2290" s="542" t="str">
        <f>IF($C$1="ENG","single leaf","одностулкове")</f>
        <v>одностулкове</v>
      </c>
      <c r="M2290" s="547"/>
      <c r="N2290" s="548" t="str">
        <f>IF($C$1="ENG","double leaf","двостулкові")</f>
        <v>двостулкові</v>
      </c>
      <c r="O2290" s="543"/>
      <c r="P2290" s="542" t="str">
        <f>IF($C$1="ENG","single leaf","одностулкове")</f>
        <v>одностулкове</v>
      </c>
      <c r="Q2290" s="547"/>
      <c r="R2290" s="548" t="str">
        <f>IF($C$1="ENG","double leaf","двостулкові")</f>
        <v>двостулкові</v>
      </c>
      <c r="S2290" s="543"/>
      <c r="T2290" s="542" t="str">
        <f>IF($C$1="ENG","single leaf","одностулкове")</f>
        <v>одностулкове</v>
      </c>
      <c r="U2290" s="547"/>
      <c r="V2290" s="548" t="str">
        <f>IF($C$1="ENG","double leaf","двостулкові")</f>
        <v>двостулкові</v>
      </c>
      <c r="W2290" s="548"/>
      <c r="X2290" s="48"/>
      <c r="Y2290" s="48"/>
      <c r="Z2290" s="48"/>
      <c r="AA2290" s="48"/>
      <c r="AE2290" s="1">
        <f>AE2291/AC2291-1</f>
        <v>0.15436241610738266</v>
      </c>
      <c r="AM2290" s="383"/>
    </row>
    <row r="2291" spans="1:58" ht="12.75" customHeight="1">
      <c r="A2291" s="8"/>
      <c r="B2291" s="13" t="str">
        <f>IF($C$1="ENG","A (75 - 95 mm)","A (75 - 95 мм)")</f>
        <v>A (75 - 95 мм)</v>
      </c>
      <c r="C2291" s="424"/>
      <c r="D2291" s="15">
        <f t="shared" ref="D2291:D2300" si="285">IF(AC2291="","",(1-$W$2)*(AC2291/1.2))</f>
        <v>2483.3333333333335</v>
      </c>
      <c r="E2291" s="266">
        <f t="shared" ref="E2291:E2300" si="286">IF($W$5=0.2,D2291*1.2,D2291)/$W$4</f>
        <v>2980</v>
      </c>
      <c r="F2291" s="269">
        <f t="shared" ref="F2291:F2300" si="287">IF(AD2291="","",(1-$W$2)*(AD2291/1.2))</f>
        <v>3475</v>
      </c>
      <c r="G2291" s="64">
        <f t="shared" ref="G2291:G2300" si="288">IF($W$5=0.2,F2291*1.2,F2291)/$W$4</f>
        <v>4170</v>
      </c>
      <c r="H2291" s="15">
        <f t="shared" ref="H2291:H2300" si="289">IF(AE2291="","",(1-$W$2)*(AE2291/1.2))</f>
        <v>2866.666666666667</v>
      </c>
      <c r="I2291" s="266">
        <f t="shared" ref="I2291:I2300" si="290">IF($W$5=0.2,H2291*1.2,H2291)/$W$4</f>
        <v>3440.0000000000005</v>
      </c>
      <c r="J2291" s="269">
        <f t="shared" ref="J2291:J2300" si="291">IF(AF2291="","",(1-$W$2)*(AF2291/1.2))</f>
        <v>4016.666666666667</v>
      </c>
      <c r="K2291" s="64">
        <f t="shared" ref="K2291:K2300" si="292">IF($W$5=0.2,J2291*1.2,J2291)/$W$4</f>
        <v>4820</v>
      </c>
      <c r="L2291" s="15">
        <f t="shared" ref="L2291:L2300" si="293">IF(AG2291="","",(1-$W$2)*(AG2291/1.2))</f>
        <v>2975</v>
      </c>
      <c r="M2291" s="266">
        <f t="shared" ref="M2291:M2300" si="294">IF($W$5=0.2,L2291*1.2,L2291)/$W$4</f>
        <v>3570</v>
      </c>
      <c r="N2291" s="269">
        <f t="shared" ref="N2291:N2300" si="295">IF(AH2291="","",(1-$W$2)*(AH2291/1.2))</f>
        <v>4158.3333333333339</v>
      </c>
      <c r="O2291" s="64">
        <f t="shared" ref="O2291:O2300" si="296">IF($W$5=0.2,N2291*1.2,N2291)/$W$4</f>
        <v>4990.0000000000009</v>
      </c>
      <c r="P2291" s="15">
        <f t="shared" ref="P2291:P2300" si="297">IF(AI2291="","",(1-$W$2)*(AI2291/1.2))</f>
        <v>3166.666666666667</v>
      </c>
      <c r="Q2291" s="266">
        <f t="shared" ref="Q2291:Q2300" si="298">IF($W$5=0.2,P2291*1.2,P2291)/$W$4</f>
        <v>3800</v>
      </c>
      <c r="R2291" s="269">
        <f t="shared" ref="R2291:R2300" si="299">IF(AJ2291="","",(1-$W$2)*(AJ2291/1.2))</f>
        <v>4433.3333333333339</v>
      </c>
      <c r="S2291" s="64">
        <f t="shared" ref="S2291:S2300" si="300">IF($W$5=0.2,R2291*1.2,R2291)/$W$4</f>
        <v>5320.0000000000009</v>
      </c>
      <c r="T2291" s="15">
        <f t="shared" ref="T2291:T2300" si="301">IF(AK2291="","",(1-$W$2)*(AK2291/1.2))</f>
        <v>3383.3333333333335</v>
      </c>
      <c r="U2291" s="266">
        <f t="shared" ref="U2291:U2300" si="302">IF($W$5=0.2,T2291*1.2,T2291)/$W$4</f>
        <v>4060</v>
      </c>
      <c r="V2291" s="269">
        <f t="shared" ref="V2291:V2300" si="303">IF(AL2291="","",(1-$W$2)*(AL2291/1.2))</f>
        <v>4983.3333333333339</v>
      </c>
      <c r="W2291" s="400">
        <f t="shared" ref="W2291:W2300" si="304">IF($W$5=0.2,V2291*1.2,V2291)/$W$4</f>
        <v>5980.0000000000009</v>
      </c>
      <c r="X2291" s="399"/>
      <c r="Y2291" s="399"/>
      <c r="Z2291" s="399"/>
      <c r="AA2291" s="399"/>
      <c r="AB2291" s="22"/>
      <c r="AC2291" s="331">
        <v>2980</v>
      </c>
      <c r="AD2291" s="331">
        <v>4170</v>
      </c>
      <c r="AE2291" s="331">
        <v>3440</v>
      </c>
      <c r="AF2291" s="331">
        <v>4820</v>
      </c>
      <c r="AG2291" s="331">
        <v>3570</v>
      </c>
      <c r="AH2291" s="331">
        <v>4990</v>
      </c>
      <c r="AI2291" s="331">
        <v>3800</v>
      </c>
      <c r="AJ2291" s="331">
        <v>5320</v>
      </c>
      <c r="AK2291" s="331">
        <v>4060</v>
      </c>
      <c r="AL2291" s="331">
        <v>5980</v>
      </c>
      <c r="AM2291" s="333">
        <v>2980</v>
      </c>
      <c r="AN2291" s="309">
        <f>AM2291/AC2291-1</f>
        <v>0</v>
      </c>
      <c r="AO2291" s="333">
        <f>AM2291/100*40</f>
        <v>1192</v>
      </c>
      <c r="AP2291" s="397">
        <f>AO2291/AD2291-1</f>
        <v>-0.71414868105515583</v>
      </c>
      <c r="AQ2291" s="333">
        <v>3440</v>
      </c>
      <c r="AR2291" s="397">
        <f>AQ2291/AE2291-1</f>
        <v>0</v>
      </c>
      <c r="AS2291" s="333">
        <v>4820</v>
      </c>
      <c r="AT2291" s="397">
        <f>AS2291/AF2291-1</f>
        <v>0</v>
      </c>
      <c r="AU2291" s="333">
        <v>3570</v>
      </c>
      <c r="AV2291" s="397">
        <f>AU2291/AG2291-1</f>
        <v>0</v>
      </c>
      <c r="AW2291" s="333">
        <v>4990</v>
      </c>
      <c r="AX2291" s="397"/>
      <c r="AY2291" s="333"/>
      <c r="AZ2291" s="397"/>
      <c r="BA2291" s="333"/>
      <c r="BB2291" s="397"/>
      <c r="BC2291" s="333"/>
      <c r="BD2291" s="397"/>
      <c r="BE2291" s="333"/>
      <c r="BF2291" s="397"/>
    </row>
    <row r="2292" spans="1:58">
      <c r="A2292" s="8"/>
      <c r="B2292" s="16" t="str">
        <f>IF($C$1="ENG","B (95 - 115 mm)","B (95 - 115 мм)")</f>
        <v>B (95 - 115 мм)</v>
      </c>
      <c r="C2292" s="430"/>
      <c r="D2292" s="18">
        <f t="shared" si="285"/>
        <v>2633.3333333333335</v>
      </c>
      <c r="E2292" s="267">
        <f t="shared" si="286"/>
        <v>3160</v>
      </c>
      <c r="F2292" s="270">
        <f t="shared" si="287"/>
        <v>3683.3333333333335</v>
      </c>
      <c r="G2292" s="66">
        <f t="shared" si="288"/>
        <v>4420</v>
      </c>
      <c r="H2292" s="18">
        <f t="shared" si="289"/>
        <v>3033.3333333333335</v>
      </c>
      <c r="I2292" s="267">
        <f t="shared" si="290"/>
        <v>3640</v>
      </c>
      <c r="J2292" s="270">
        <f t="shared" si="291"/>
        <v>4250</v>
      </c>
      <c r="K2292" s="66">
        <f t="shared" si="292"/>
        <v>5100</v>
      </c>
      <c r="L2292" s="18">
        <f t="shared" si="293"/>
        <v>3166.666666666667</v>
      </c>
      <c r="M2292" s="267">
        <f t="shared" si="294"/>
        <v>3800</v>
      </c>
      <c r="N2292" s="270">
        <f t="shared" si="295"/>
        <v>4425</v>
      </c>
      <c r="O2292" s="66">
        <f t="shared" si="296"/>
        <v>5310</v>
      </c>
      <c r="P2292" s="18">
        <f t="shared" si="297"/>
        <v>3350</v>
      </c>
      <c r="Q2292" s="267">
        <f t="shared" si="298"/>
        <v>4020</v>
      </c>
      <c r="R2292" s="270">
        <f t="shared" si="299"/>
        <v>4683.3333333333339</v>
      </c>
      <c r="S2292" s="66">
        <f t="shared" si="300"/>
        <v>5620.0000000000009</v>
      </c>
      <c r="T2292" s="18">
        <f t="shared" si="301"/>
        <v>3583.3333333333335</v>
      </c>
      <c r="U2292" s="267">
        <f t="shared" si="302"/>
        <v>4300</v>
      </c>
      <c r="V2292" s="270">
        <f t="shared" si="303"/>
        <v>5016.666666666667</v>
      </c>
      <c r="W2292" s="401">
        <f t="shared" si="304"/>
        <v>6020</v>
      </c>
      <c r="X2292" s="399"/>
      <c r="Y2292" s="59"/>
      <c r="Z2292" s="28"/>
      <c r="AA2292" s="59"/>
      <c r="AB2292" s="22"/>
      <c r="AC2292" s="331">
        <v>3160</v>
      </c>
      <c r="AD2292" s="331">
        <v>4420</v>
      </c>
      <c r="AE2292" s="331">
        <v>3640</v>
      </c>
      <c r="AF2292" s="331">
        <v>5100</v>
      </c>
      <c r="AG2292" s="331">
        <v>3800</v>
      </c>
      <c r="AH2292" s="331">
        <v>5310</v>
      </c>
      <c r="AI2292" s="331">
        <v>4020</v>
      </c>
      <c r="AJ2292" s="331">
        <v>5620</v>
      </c>
      <c r="AK2292" s="331">
        <v>4300</v>
      </c>
      <c r="AL2292" s="331">
        <v>6020</v>
      </c>
      <c r="AM2292" s="333">
        <v>3160</v>
      </c>
      <c r="AN2292" s="309">
        <f t="shared" ref="AN2292:AN2300" si="305">AM2292/AC2292-1</f>
        <v>0</v>
      </c>
      <c r="AO2292" s="333">
        <f t="shared" ref="AO2292:AO2300" si="306">AM2292/100*40</f>
        <v>1264</v>
      </c>
      <c r="AP2292" s="397">
        <f t="shared" ref="AP2292:AP2300" si="307">AO2292/AD2292-1</f>
        <v>-0.71402714932126699</v>
      </c>
      <c r="AQ2292" s="333">
        <v>3640</v>
      </c>
      <c r="AR2292" s="397">
        <f t="shared" ref="AR2292:AR2300" si="308">AQ2292/AE2292-1</f>
        <v>0</v>
      </c>
      <c r="AS2292" s="333">
        <v>5100</v>
      </c>
      <c r="AT2292" s="397">
        <f t="shared" ref="AT2292:AT2300" si="309">AS2292/AF2292-1</f>
        <v>0</v>
      </c>
      <c r="AU2292" s="333">
        <v>3800</v>
      </c>
      <c r="AV2292" s="397">
        <f t="shared" ref="AV2292:AV2300" si="310">AU2292/AG2292-1</f>
        <v>0</v>
      </c>
      <c r="AW2292" s="333">
        <v>5310</v>
      </c>
      <c r="AX2292" s="397"/>
      <c r="AY2292" s="333"/>
      <c r="AZ2292" s="397"/>
      <c r="BA2292" s="333"/>
      <c r="BB2292" s="397"/>
      <c r="BC2292" s="333"/>
      <c r="BD2292" s="397"/>
      <c r="BE2292" s="333"/>
      <c r="BF2292" s="397"/>
    </row>
    <row r="2293" spans="1:58">
      <c r="A2293" s="8"/>
      <c r="B2293" s="16" t="str">
        <f>IF($C$1="ENG","B+ (100 - 120 mm)","B+ (100 - 120 мм)")</f>
        <v>B+ (100 - 120 мм)</v>
      </c>
      <c r="C2293" s="430"/>
      <c r="D2293" s="18">
        <f t="shared" si="285"/>
        <v>2733.3333333333335</v>
      </c>
      <c r="E2293" s="267">
        <f t="shared" si="286"/>
        <v>3280</v>
      </c>
      <c r="F2293" s="270">
        <f t="shared" si="287"/>
        <v>3825</v>
      </c>
      <c r="G2293" s="66">
        <f t="shared" si="288"/>
        <v>4590</v>
      </c>
      <c r="H2293" s="18">
        <f t="shared" si="289"/>
        <v>3133.3333333333335</v>
      </c>
      <c r="I2293" s="267">
        <f t="shared" si="290"/>
        <v>3760</v>
      </c>
      <c r="J2293" s="270">
        <f t="shared" si="291"/>
        <v>4391.666666666667</v>
      </c>
      <c r="K2293" s="66">
        <f t="shared" si="292"/>
        <v>5270</v>
      </c>
      <c r="L2293" s="18">
        <f t="shared" si="293"/>
        <v>3258.3333333333335</v>
      </c>
      <c r="M2293" s="267">
        <f t="shared" si="294"/>
        <v>3910</v>
      </c>
      <c r="N2293" s="270">
        <f t="shared" si="295"/>
        <v>4558.3333333333339</v>
      </c>
      <c r="O2293" s="66">
        <f t="shared" si="296"/>
        <v>5470.0000000000009</v>
      </c>
      <c r="P2293" s="18">
        <f t="shared" si="297"/>
        <v>3450</v>
      </c>
      <c r="Q2293" s="267">
        <f t="shared" si="298"/>
        <v>4140</v>
      </c>
      <c r="R2293" s="270">
        <f t="shared" si="299"/>
        <v>4825</v>
      </c>
      <c r="S2293" s="66">
        <f t="shared" si="300"/>
        <v>5790</v>
      </c>
      <c r="T2293" s="18">
        <f t="shared" si="301"/>
        <v>3683.3333333333335</v>
      </c>
      <c r="U2293" s="267">
        <f t="shared" si="302"/>
        <v>4420</v>
      </c>
      <c r="V2293" s="270">
        <f t="shared" si="303"/>
        <v>5150</v>
      </c>
      <c r="W2293" s="401">
        <f t="shared" si="304"/>
        <v>6180</v>
      </c>
      <c r="X2293" s="399"/>
      <c r="Y2293" s="59"/>
      <c r="Z2293" s="28"/>
      <c r="AA2293" s="59"/>
      <c r="AB2293" s="22"/>
      <c r="AC2293" s="331">
        <v>3280</v>
      </c>
      <c r="AD2293" s="331">
        <v>4590</v>
      </c>
      <c r="AE2293" s="331">
        <v>3760</v>
      </c>
      <c r="AF2293" s="331">
        <v>5270</v>
      </c>
      <c r="AG2293" s="331">
        <v>3910</v>
      </c>
      <c r="AH2293" s="331">
        <v>5470</v>
      </c>
      <c r="AI2293" s="331">
        <v>4140</v>
      </c>
      <c r="AJ2293" s="331">
        <v>5790</v>
      </c>
      <c r="AK2293" s="331">
        <v>4420</v>
      </c>
      <c r="AL2293" s="331">
        <v>6180</v>
      </c>
      <c r="AM2293" s="333">
        <v>3280</v>
      </c>
      <c r="AN2293" s="309">
        <f t="shared" si="305"/>
        <v>0</v>
      </c>
      <c r="AO2293" s="333">
        <f t="shared" si="306"/>
        <v>1312</v>
      </c>
      <c r="AP2293" s="397">
        <f t="shared" si="307"/>
        <v>-0.71416122004357296</v>
      </c>
      <c r="AQ2293" s="333">
        <v>3760</v>
      </c>
      <c r="AR2293" s="397">
        <f t="shared" si="308"/>
        <v>0</v>
      </c>
      <c r="AS2293" s="333">
        <v>5270</v>
      </c>
      <c r="AT2293" s="397">
        <f t="shared" si="309"/>
        <v>0</v>
      </c>
      <c r="AU2293" s="333">
        <v>3910</v>
      </c>
      <c r="AV2293" s="397">
        <f t="shared" si="310"/>
        <v>0</v>
      </c>
      <c r="AW2293" s="333">
        <v>5470</v>
      </c>
      <c r="AX2293" s="397"/>
      <c r="AY2293" s="333"/>
      <c r="AZ2293" s="397"/>
      <c r="BA2293" s="333"/>
      <c r="BB2293" s="397"/>
      <c r="BC2293" s="333"/>
      <c r="BD2293" s="397"/>
      <c r="BE2293" s="333"/>
      <c r="BF2293" s="397"/>
    </row>
    <row r="2294" spans="1:58">
      <c r="A2294" s="8"/>
      <c r="B2294" s="16" t="str">
        <f>IF($C$1="ENG","C (120 - 140 mm)","C (120 - 140 мм)")</f>
        <v>C (120 - 140 мм)</v>
      </c>
      <c r="C2294" s="430"/>
      <c r="D2294" s="18">
        <f t="shared" si="285"/>
        <v>2808.3333333333335</v>
      </c>
      <c r="E2294" s="267">
        <f t="shared" si="286"/>
        <v>3370</v>
      </c>
      <c r="F2294" s="270">
        <f t="shared" si="287"/>
        <v>3933.3333333333335</v>
      </c>
      <c r="G2294" s="66">
        <f t="shared" si="288"/>
        <v>4720</v>
      </c>
      <c r="H2294" s="18">
        <f t="shared" si="289"/>
        <v>3233.3333333333335</v>
      </c>
      <c r="I2294" s="267">
        <f t="shared" si="290"/>
        <v>3880</v>
      </c>
      <c r="J2294" s="270">
        <f t="shared" si="291"/>
        <v>4525</v>
      </c>
      <c r="K2294" s="66">
        <f t="shared" si="292"/>
        <v>5430</v>
      </c>
      <c r="L2294" s="18">
        <f t="shared" si="293"/>
        <v>3333.3333333333335</v>
      </c>
      <c r="M2294" s="267">
        <f t="shared" si="294"/>
        <v>4000</v>
      </c>
      <c r="N2294" s="270">
        <f t="shared" si="295"/>
        <v>4675</v>
      </c>
      <c r="O2294" s="66">
        <f t="shared" si="296"/>
        <v>5610</v>
      </c>
      <c r="P2294" s="18">
        <f t="shared" si="297"/>
        <v>3541.666666666667</v>
      </c>
      <c r="Q2294" s="267">
        <f t="shared" si="298"/>
        <v>4250</v>
      </c>
      <c r="R2294" s="270">
        <f t="shared" si="299"/>
        <v>4958.3333333333339</v>
      </c>
      <c r="S2294" s="66">
        <f t="shared" si="300"/>
        <v>5950.0000000000009</v>
      </c>
      <c r="T2294" s="18">
        <f t="shared" si="301"/>
        <v>3791.666666666667</v>
      </c>
      <c r="U2294" s="267">
        <f t="shared" si="302"/>
        <v>4550</v>
      </c>
      <c r="V2294" s="270">
        <f t="shared" si="303"/>
        <v>5300</v>
      </c>
      <c r="W2294" s="401">
        <f t="shared" si="304"/>
        <v>6360</v>
      </c>
      <c r="X2294" s="399"/>
      <c r="Y2294" s="59"/>
      <c r="Z2294" s="28"/>
      <c r="AA2294" s="59"/>
      <c r="AB2294" s="22"/>
      <c r="AC2294" s="331">
        <v>3370</v>
      </c>
      <c r="AD2294" s="331">
        <v>4720</v>
      </c>
      <c r="AE2294" s="331">
        <v>3880</v>
      </c>
      <c r="AF2294" s="331">
        <v>5430</v>
      </c>
      <c r="AG2294" s="331">
        <v>4000</v>
      </c>
      <c r="AH2294" s="331">
        <v>5610</v>
      </c>
      <c r="AI2294" s="331">
        <v>4250</v>
      </c>
      <c r="AJ2294" s="331">
        <v>5950</v>
      </c>
      <c r="AK2294" s="331">
        <v>4550</v>
      </c>
      <c r="AL2294" s="331">
        <v>6360</v>
      </c>
      <c r="AM2294" s="333">
        <v>3370</v>
      </c>
      <c r="AN2294" s="309">
        <f t="shared" si="305"/>
        <v>0</v>
      </c>
      <c r="AO2294" s="333">
        <f t="shared" si="306"/>
        <v>1348</v>
      </c>
      <c r="AP2294" s="397">
        <f t="shared" si="307"/>
        <v>-0.71440677966101696</v>
      </c>
      <c r="AQ2294" s="333">
        <v>3880</v>
      </c>
      <c r="AR2294" s="397">
        <f t="shared" si="308"/>
        <v>0</v>
      </c>
      <c r="AS2294" s="333">
        <v>5430</v>
      </c>
      <c r="AT2294" s="397">
        <f t="shared" si="309"/>
        <v>0</v>
      </c>
      <c r="AU2294" s="333">
        <v>4000</v>
      </c>
      <c r="AV2294" s="397">
        <f t="shared" si="310"/>
        <v>0</v>
      </c>
      <c r="AW2294" s="333">
        <v>5610</v>
      </c>
      <c r="AX2294" s="397"/>
      <c r="AY2294" s="333"/>
      <c r="AZ2294" s="397"/>
      <c r="BA2294" s="333"/>
      <c r="BB2294" s="397"/>
      <c r="BC2294" s="333"/>
      <c r="BD2294" s="397"/>
      <c r="BE2294" s="333"/>
      <c r="BF2294" s="397"/>
    </row>
    <row r="2295" spans="1:58">
      <c r="A2295" s="8"/>
      <c r="B2295" s="16" t="str">
        <f>IF($C$1="ENG","D (140 - 160 mm)","D (140 - 160 мм)")</f>
        <v>D (140 - 160 мм)</v>
      </c>
      <c r="C2295" s="430"/>
      <c r="D2295" s="18">
        <f t="shared" si="285"/>
        <v>2958.3333333333335</v>
      </c>
      <c r="E2295" s="267">
        <f t="shared" si="286"/>
        <v>3550</v>
      </c>
      <c r="F2295" s="270">
        <f t="shared" si="287"/>
        <v>4141.666666666667</v>
      </c>
      <c r="G2295" s="66">
        <f t="shared" si="288"/>
        <v>4970</v>
      </c>
      <c r="H2295" s="18">
        <f t="shared" si="289"/>
        <v>3400</v>
      </c>
      <c r="I2295" s="267">
        <f t="shared" si="290"/>
        <v>4080</v>
      </c>
      <c r="J2295" s="270">
        <f t="shared" si="291"/>
        <v>4758.3333333333339</v>
      </c>
      <c r="K2295" s="66">
        <f t="shared" si="292"/>
        <v>5710.0000000000009</v>
      </c>
      <c r="L2295" s="18">
        <f t="shared" si="293"/>
        <v>3525</v>
      </c>
      <c r="M2295" s="267">
        <f t="shared" si="294"/>
        <v>4230</v>
      </c>
      <c r="N2295" s="270">
        <f t="shared" si="295"/>
        <v>4933.3333333333339</v>
      </c>
      <c r="O2295" s="66">
        <f t="shared" si="296"/>
        <v>5920.0000000000009</v>
      </c>
      <c r="P2295" s="18">
        <f t="shared" si="297"/>
        <v>3741.666666666667</v>
      </c>
      <c r="Q2295" s="267">
        <f t="shared" si="298"/>
        <v>4490</v>
      </c>
      <c r="R2295" s="270">
        <f t="shared" si="299"/>
        <v>5241.666666666667</v>
      </c>
      <c r="S2295" s="66">
        <f t="shared" si="300"/>
        <v>6290</v>
      </c>
      <c r="T2295" s="18">
        <f t="shared" si="301"/>
        <v>3983.3333333333335</v>
      </c>
      <c r="U2295" s="267">
        <f t="shared" si="302"/>
        <v>4780</v>
      </c>
      <c r="V2295" s="270">
        <f t="shared" si="303"/>
        <v>5575</v>
      </c>
      <c r="W2295" s="401">
        <f t="shared" si="304"/>
        <v>6690</v>
      </c>
      <c r="X2295" s="399"/>
      <c r="Y2295" s="59"/>
      <c r="Z2295" s="28"/>
      <c r="AA2295" s="59"/>
      <c r="AB2295" s="22"/>
      <c r="AC2295" s="331">
        <v>3550</v>
      </c>
      <c r="AD2295" s="331">
        <v>4970</v>
      </c>
      <c r="AE2295" s="331">
        <v>4080</v>
      </c>
      <c r="AF2295" s="331">
        <v>5710</v>
      </c>
      <c r="AG2295" s="331">
        <v>4230</v>
      </c>
      <c r="AH2295" s="331">
        <v>5920</v>
      </c>
      <c r="AI2295" s="331">
        <v>4490</v>
      </c>
      <c r="AJ2295" s="331">
        <v>6290</v>
      </c>
      <c r="AK2295" s="331">
        <v>4780</v>
      </c>
      <c r="AL2295" s="331">
        <v>6690</v>
      </c>
      <c r="AM2295" s="333">
        <v>3550</v>
      </c>
      <c r="AN2295" s="309">
        <f t="shared" si="305"/>
        <v>0</v>
      </c>
      <c r="AO2295" s="333">
        <f t="shared" si="306"/>
        <v>1420</v>
      </c>
      <c r="AP2295" s="397">
        <f t="shared" si="307"/>
        <v>-0.7142857142857143</v>
      </c>
      <c r="AQ2295" s="333">
        <v>4080</v>
      </c>
      <c r="AR2295" s="397">
        <f t="shared" si="308"/>
        <v>0</v>
      </c>
      <c r="AS2295" s="333">
        <v>5710</v>
      </c>
      <c r="AT2295" s="397">
        <f t="shared" si="309"/>
        <v>0</v>
      </c>
      <c r="AU2295" s="333">
        <v>4230</v>
      </c>
      <c r="AV2295" s="397">
        <f t="shared" si="310"/>
        <v>0</v>
      </c>
      <c r="AW2295" s="333">
        <v>5920</v>
      </c>
      <c r="AX2295" s="397"/>
      <c r="AY2295" s="333"/>
      <c r="AZ2295" s="397"/>
      <c r="BA2295" s="333"/>
      <c r="BB2295" s="397"/>
      <c r="BC2295" s="333"/>
      <c r="BD2295" s="397"/>
      <c r="BE2295" s="333"/>
      <c r="BF2295" s="397"/>
    </row>
    <row r="2296" spans="1:58">
      <c r="A2296" s="8"/>
      <c r="B2296" s="16" t="str">
        <f>IF($C$1="ENG","E (160 - 180 mm)","E (160 - 180 мм)")</f>
        <v>E (160 - 180 мм)</v>
      </c>
      <c r="C2296" s="430"/>
      <c r="D2296" s="18">
        <f t="shared" si="285"/>
        <v>3108.3333333333335</v>
      </c>
      <c r="E2296" s="267">
        <f t="shared" si="286"/>
        <v>3730</v>
      </c>
      <c r="F2296" s="270">
        <f t="shared" si="287"/>
        <v>4350</v>
      </c>
      <c r="G2296" s="66">
        <f t="shared" si="288"/>
        <v>5220</v>
      </c>
      <c r="H2296" s="18">
        <f t="shared" si="289"/>
        <v>3583.3333333333335</v>
      </c>
      <c r="I2296" s="267">
        <f t="shared" si="290"/>
        <v>4300</v>
      </c>
      <c r="J2296" s="270">
        <f t="shared" si="291"/>
        <v>5016.666666666667</v>
      </c>
      <c r="K2296" s="66">
        <f t="shared" si="292"/>
        <v>6020</v>
      </c>
      <c r="L2296" s="18">
        <f t="shared" si="293"/>
        <v>3691.666666666667</v>
      </c>
      <c r="M2296" s="267">
        <f t="shared" si="294"/>
        <v>4430</v>
      </c>
      <c r="N2296" s="270">
        <f t="shared" si="295"/>
        <v>5175</v>
      </c>
      <c r="O2296" s="66">
        <f t="shared" si="296"/>
        <v>6210</v>
      </c>
      <c r="P2296" s="18">
        <f t="shared" si="297"/>
        <v>3933.3333333333335</v>
      </c>
      <c r="Q2296" s="267">
        <f t="shared" si="298"/>
        <v>4720</v>
      </c>
      <c r="R2296" s="270">
        <f t="shared" si="299"/>
        <v>5508.3333333333339</v>
      </c>
      <c r="S2296" s="66">
        <f t="shared" si="300"/>
        <v>6610.0000000000009</v>
      </c>
      <c r="T2296" s="18">
        <f t="shared" si="301"/>
        <v>4191.666666666667</v>
      </c>
      <c r="U2296" s="267">
        <f t="shared" si="302"/>
        <v>5030</v>
      </c>
      <c r="V2296" s="270">
        <f t="shared" si="303"/>
        <v>5866.666666666667</v>
      </c>
      <c r="W2296" s="401">
        <f t="shared" si="304"/>
        <v>7040</v>
      </c>
      <c r="X2296" s="399"/>
      <c r="Y2296" s="59"/>
      <c r="Z2296" s="28"/>
      <c r="AA2296" s="59"/>
      <c r="AB2296" s="22"/>
      <c r="AC2296" s="331">
        <v>3730</v>
      </c>
      <c r="AD2296" s="331">
        <v>5220</v>
      </c>
      <c r="AE2296" s="331">
        <v>4300</v>
      </c>
      <c r="AF2296" s="331">
        <v>6020</v>
      </c>
      <c r="AG2296" s="331">
        <v>4430</v>
      </c>
      <c r="AH2296" s="331">
        <v>6210</v>
      </c>
      <c r="AI2296" s="331">
        <v>4720</v>
      </c>
      <c r="AJ2296" s="331">
        <v>6610</v>
      </c>
      <c r="AK2296" s="331">
        <v>5030</v>
      </c>
      <c r="AL2296" s="331">
        <v>7040</v>
      </c>
      <c r="AM2296" s="333">
        <v>3730</v>
      </c>
      <c r="AN2296" s="309">
        <f t="shared" si="305"/>
        <v>0</v>
      </c>
      <c r="AO2296" s="333">
        <f t="shared" si="306"/>
        <v>1492</v>
      </c>
      <c r="AP2296" s="397">
        <f t="shared" si="307"/>
        <v>-0.71417624521072798</v>
      </c>
      <c r="AQ2296" s="333">
        <v>4300</v>
      </c>
      <c r="AR2296" s="397">
        <f t="shared" si="308"/>
        <v>0</v>
      </c>
      <c r="AS2296" s="333">
        <v>6020</v>
      </c>
      <c r="AT2296" s="397">
        <f t="shared" si="309"/>
        <v>0</v>
      </c>
      <c r="AU2296" s="333">
        <v>4430</v>
      </c>
      <c r="AV2296" s="397">
        <f t="shared" si="310"/>
        <v>0</v>
      </c>
      <c r="AW2296" s="333">
        <v>6210</v>
      </c>
      <c r="AX2296" s="397"/>
      <c r="AY2296" s="333"/>
      <c r="AZ2296" s="397"/>
      <c r="BA2296" s="333"/>
      <c r="BB2296" s="397"/>
      <c r="BC2296" s="333"/>
      <c r="BD2296" s="397"/>
      <c r="BE2296" s="333"/>
      <c r="BF2296" s="397"/>
    </row>
    <row r="2297" spans="1:58">
      <c r="A2297" s="8"/>
      <c r="B2297" s="16" t="str">
        <f>IF($C$1="ENG","F (180 - 200 mm)","F (180 - 200 мм)")</f>
        <v>F (180 - 200 мм)</v>
      </c>
      <c r="C2297" s="430"/>
      <c r="D2297" s="18">
        <f t="shared" si="285"/>
        <v>3266.666666666667</v>
      </c>
      <c r="E2297" s="267">
        <f t="shared" si="286"/>
        <v>3920</v>
      </c>
      <c r="F2297" s="270">
        <f t="shared" si="287"/>
        <v>4575</v>
      </c>
      <c r="G2297" s="66">
        <f t="shared" si="288"/>
        <v>5490</v>
      </c>
      <c r="H2297" s="18">
        <f t="shared" si="289"/>
        <v>3758.3333333333335</v>
      </c>
      <c r="I2297" s="267">
        <f t="shared" si="290"/>
        <v>4510</v>
      </c>
      <c r="J2297" s="270">
        <f t="shared" si="291"/>
        <v>5250</v>
      </c>
      <c r="K2297" s="66">
        <f t="shared" si="292"/>
        <v>6300</v>
      </c>
      <c r="L2297" s="18">
        <f t="shared" si="293"/>
        <v>3883.3333333333335</v>
      </c>
      <c r="M2297" s="267">
        <f t="shared" si="294"/>
        <v>4660</v>
      </c>
      <c r="N2297" s="270">
        <f t="shared" si="295"/>
        <v>5433.3333333333339</v>
      </c>
      <c r="O2297" s="66">
        <f t="shared" si="296"/>
        <v>6520.0000000000009</v>
      </c>
      <c r="P2297" s="18">
        <f t="shared" si="297"/>
        <v>4116.666666666667</v>
      </c>
      <c r="Q2297" s="267">
        <f t="shared" si="298"/>
        <v>4940</v>
      </c>
      <c r="R2297" s="270">
        <f t="shared" si="299"/>
        <v>5766.666666666667</v>
      </c>
      <c r="S2297" s="66">
        <f t="shared" si="300"/>
        <v>6920</v>
      </c>
      <c r="T2297" s="18">
        <f t="shared" si="301"/>
        <v>4400</v>
      </c>
      <c r="U2297" s="267">
        <f t="shared" si="302"/>
        <v>5280</v>
      </c>
      <c r="V2297" s="270">
        <f t="shared" si="303"/>
        <v>6158.3333333333339</v>
      </c>
      <c r="W2297" s="401">
        <f t="shared" si="304"/>
        <v>7390</v>
      </c>
      <c r="X2297" s="399"/>
      <c r="Y2297" s="59"/>
      <c r="Z2297" s="28"/>
      <c r="AA2297" s="59"/>
      <c r="AB2297" s="22"/>
      <c r="AC2297" s="331">
        <v>3920</v>
      </c>
      <c r="AD2297" s="331">
        <v>5490</v>
      </c>
      <c r="AE2297" s="331">
        <v>4510</v>
      </c>
      <c r="AF2297" s="331">
        <v>6300</v>
      </c>
      <c r="AG2297" s="331">
        <v>4660</v>
      </c>
      <c r="AH2297" s="331">
        <v>6520</v>
      </c>
      <c r="AI2297" s="331">
        <v>4940</v>
      </c>
      <c r="AJ2297" s="331">
        <v>6920</v>
      </c>
      <c r="AK2297" s="331">
        <v>5280</v>
      </c>
      <c r="AL2297" s="331">
        <v>7390</v>
      </c>
      <c r="AM2297" s="333">
        <v>3920</v>
      </c>
      <c r="AN2297" s="309">
        <f t="shared" si="305"/>
        <v>0</v>
      </c>
      <c r="AO2297" s="333">
        <f t="shared" si="306"/>
        <v>1568</v>
      </c>
      <c r="AP2297" s="397">
        <f t="shared" si="307"/>
        <v>-0.71438979963570126</v>
      </c>
      <c r="AQ2297" s="333">
        <v>4510</v>
      </c>
      <c r="AR2297" s="397">
        <f t="shared" si="308"/>
        <v>0</v>
      </c>
      <c r="AS2297" s="333">
        <v>6300</v>
      </c>
      <c r="AT2297" s="397">
        <f t="shared" si="309"/>
        <v>0</v>
      </c>
      <c r="AU2297" s="333">
        <v>4660</v>
      </c>
      <c r="AV2297" s="397">
        <f t="shared" si="310"/>
        <v>0</v>
      </c>
      <c r="AW2297" s="333">
        <v>6520</v>
      </c>
      <c r="AX2297" s="397"/>
      <c r="AY2297" s="333"/>
      <c r="AZ2297" s="397"/>
      <c r="BA2297" s="333"/>
      <c r="BB2297" s="397"/>
      <c r="BC2297" s="333"/>
      <c r="BD2297" s="397"/>
      <c r="BE2297" s="333"/>
      <c r="BF2297" s="397"/>
    </row>
    <row r="2298" spans="1:58">
      <c r="A2298" s="8"/>
      <c r="B2298" s="16" t="str">
        <f>IF($C$1="ENG","G (200 - 220 mm)","G (200 - 220 мм)")</f>
        <v>G (200 - 220 мм)</v>
      </c>
      <c r="C2298" s="430"/>
      <c r="D2298" s="18">
        <f t="shared" si="285"/>
        <v>3416.666666666667</v>
      </c>
      <c r="E2298" s="267">
        <f t="shared" si="286"/>
        <v>4100</v>
      </c>
      <c r="F2298" s="270">
        <f t="shared" si="287"/>
        <v>4783.3333333333339</v>
      </c>
      <c r="G2298" s="66">
        <f t="shared" si="288"/>
        <v>5740.0000000000009</v>
      </c>
      <c r="H2298" s="18">
        <f t="shared" si="289"/>
        <v>3941.666666666667</v>
      </c>
      <c r="I2298" s="267">
        <f t="shared" si="290"/>
        <v>4730</v>
      </c>
      <c r="J2298" s="270">
        <f t="shared" si="291"/>
        <v>5508.3333333333339</v>
      </c>
      <c r="K2298" s="66">
        <f t="shared" si="292"/>
        <v>6610.0000000000009</v>
      </c>
      <c r="L2298" s="18">
        <f t="shared" si="293"/>
        <v>4075</v>
      </c>
      <c r="M2298" s="267">
        <f t="shared" si="294"/>
        <v>4890</v>
      </c>
      <c r="N2298" s="270">
        <f t="shared" si="295"/>
        <v>5700</v>
      </c>
      <c r="O2298" s="66">
        <f t="shared" si="296"/>
        <v>6840</v>
      </c>
      <c r="P2298" s="18">
        <f t="shared" si="297"/>
        <v>4316.666666666667</v>
      </c>
      <c r="Q2298" s="267">
        <f t="shared" si="298"/>
        <v>5180</v>
      </c>
      <c r="R2298" s="270">
        <f t="shared" si="299"/>
        <v>6041.666666666667</v>
      </c>
      <c r="S2298" s="66">
        <f t="shared" si="300"/>
        <v>7250</v>
      </c>
      <c r="T2298" s="18">
        <f t="shared" si="301"/>
        <v>4600</v>
      </c>
      <c r="U2298" s="267">
        <f t="shared" si="302"/>
        <v>5520</v>
      </c>
      <c r="V2298" s="270">
        <f t="shared" si="303"/>
        <v>6433.3333333333339</v>
      </c>
      <c r="W2298" s="401">
        <f t="shared" si="304"/>
        <v>7720</v>
      </c>
      <c r="X2298" s="399"/>
      <c r="Y2298" s="59"/>
      <c r="Z2298" s="28"/>
      <c r="AA2298" s="59"/>
      <c r="AB2298" s="22"/>
      <c r="AC2298" s="331">
        <v>4100</v>
      </c>
      <c r="AD2298" s="331">
        <v>5740</v>
      </c>
      <c r="AE2298" s="331">
        <v>4730</v>
      </c>
      <c r="AF2298" s="331">
        <v>6610</v>
      </c>
      <c r="AG2298" s="331">
        <v>4890</v>
      </c>
      <c r="AH2298" s="331">
        <v>6840</v>
      </c>
      <c r="AI2298" s="331">
        <v>5180</v>
      </c>
      <c r="AJ2298" s="331">
        <v>7250</v>
      </c>
      <c r="AK2298" s="331">
        <v>5520</v>
      </c>
      <c r="AL2298" s="331">
        <v>7720</v>
      </c>
      <c r="AM2298" s="333">
        <v>4100</v>
      </c>
      <c r="AN2298" s="309">
        <f t="shared" si="305"/>
        <v>0</v>
      </c>
      <c r="AO2298" s="333">
        <f t="shared" si="306"/>
        <v>1640</v>
      </c>
      <c r="AP2298" s="397">
        <f t="shared" si="307"/>
        <v>-0.7142857142857143</v>
      </c>
      <c r="AQ2298" s="333">
        <v>4730</v>
      </c>
      <c r="AR2298" s="397">
        <f t="shared" si="308"/>
        <v>0</v>
      </c>
      <c r="AS2298" s="333">
        <v>6610</v>
      </c>
      <c r="AT2298" s="397">
        <f t="shared" si="309"/>
        <v>0</v>
      </c>
      <c r="AU2298" s="333">
        <v>4890</v>
      </c>
      <c r="AV2298" s="397">
        <f t="shared" si="310"/>
        <v>0</v>
      </c>
      <c r="AW2298" s="333">
        <v>6840</v>
      </c>
      <c r="AX2298" s="397"/>
      <c r="AY2298" s="333"/>
      <c r="AZ2298" s="397"/>
      <c r="BA2298" s="333"/>
      <c r="BB2298" s="397"/>
      <c r="BC2298" s="333"/>
      <c r="BD2298" s="397"/>
      <c r="BE2298" s="333"/>
      <c r="BF2298" s="397"/>
    </row>
    <row r="2299" spans="1:58">
      <c r="A2299" s="8"/>
      <c r="B2299" s="16" t="str">
        <f>IF($C$1="ENG","H (220 - 240 mm)","H (220 - 240 мм)")</f>
        <v>H (220 - 240 мм)</v>
      </c>
      <c r="C2299" s="430"/>
      <c r="D2299" s="18">
        <f t="shared" si="285"/>
        <v>3575</v>
      </c>
      <c r="E2299" s="267">
        <f t="shared" si="286"/>
        <v>4290</v>
      </c>
      <c r="F2299" s="270">
        <f t="shared" si="287"/>
        <v>5000</v>
      </c>
      <c r="G2299" s="66">
        <f t="shared" si="288"/>
        <v>6000</v>
      </c>
      <c r="H2299" s="18">
        <f t="shared" si="289"/>
        <v>4116.666666666667</v>
      </c>
      <c r="I2299" s="267">
        <f t="shared" si="290"/>
        <v>4940</v>
      </c>
      <c r="J2299" s="270">
        <f t="shared" si="291"/>
        <v>5766.666666666667</v>
      </c>
      <c r="K2299" s="66">
        <f t="shared" si="292"/>
        <v>6920</v>
      </c>
      <c r="L2299" s="18">
        <f t="shared" si="293"/>
        <v>4241.666666666667</v>
      </c>
      <c r="M2299" s="267">
        <f t="shared" si="294"/>
        <v>5090</v>
      </c>
      <c r="N2299" s="270">
        <f t="shared" si="295"/>
        <v>5933.3333333333339</v>
      </c>
      <c r="O2299" s="66">
        <f t="shared" si="296"/>
        <v>7120.0000000000009</v>
      </c>
      <c r="P2299" s="18">
        <f t="shared" si="297"/>
        <v>4516.666666666667</v>
      </c>
      <c r="Q2299" s="267">
        <f t="shared" si="298"/>
        <v>5420</v>
      </c>
      <c r="R2299" s="270">
        <f t="shared" si="299"/>
        <v>6308.3333333333339</v>
      </c>
      <c r="S2299" s="66">
        <f t="shared" si="300"/>
        <v>7570</v>
      </c>
      <c r="T2299" s="18">
        <f t="shared" si="301"/>
        <v>4808.3333333333339</v>
      </c>
      <c r="U2299" s="267">
        <f t="shared" si="302"/>
        <v>5770.0000000000009</v>
      </c>
      <c r="V2299" s="270">
        <f t="shared" si="303"/>
        <v>6725</v>
      </c>
      <c r="W2299" s="401">
        <f t="shared" si="304"/>
        <v>8070</v>
      </c>
      <c r="X2299" s="399"/>
      <c r="Y2299" s="59"/>
      <c r="Z2299" s="28"/>
      <c r="AA2299" s="59"/>
      <c r="AB2299" s="22"/>
      <c r="AC2299" s="331">
        <v>4290</v>
      </c>
      <c r="AD2299" s="331">
        <v>6000</v>
      </c>
      <c r="AE2299" s="331">
        <v>4940</v>
      </c>
      <c r="AF2299" s="331">
        <v>6920</v>
      </c>
      <c r="AG2299" s="331">
        <v>5090</v>
      </c>
      <c r="AH2299" s="331">
        <v>7120</v>
      </c>
      <c r="AI2299" s="331">
        <v>5420</v>
      </c>
      <c r="AJ2299" s="331">
        <v>7570</v>
      </c>
      <c r="AK2299" s="331">
        <v>5770</v>
      </c>
      <c r="AL2299" s="331">
        <v>8070</v>
      </c>
      <c r="AM2299" s="333">
        <v>4290</v>
      </c>
      <c r="AN2299" s="309">
        <f t="shared" si="305"/>
        <v>0</v>
      </c>
      <c r="AO2299" s="333">
        <f t="shared" si="306"/>
        <v>1716</v>
      </c>
      <c r="AP2299" s="397">
        <f t="shared" si="307"/>
        <v>-0.71399999999999997</v>
      </c>
      <c r="AQ2299" s="333">
        <v>4940</v>
      </c>
      <c r="AR2299" s="397">
        <f t="shared" si="308"/>
        <v>0</v>
      </c>
      <c r="AS2299" s="333">
        <v>6920</v>
      </c>
      <c r="AT2299" s="397">
        <f t="shared" si="309"/>
        <v>0</v>
      </c>
      <c r="AU2299" s="333">
        <v>5090</v>
      </c>
      <c r="AV2299" s="397">
        <f t="shared" si="310"/>
        <v>0</v>
      </c>
      <c r="AW2299" s="333">
        <v>7120</v>
      </c>
      <c r="AX2299" s="397"/>
      <c r="AY2299" s="333"/>
      <c r="AZ2299" s="397"/>
      <c r="BA2299" s="333"/>
      <c r="BB2299" s="397"/>
      <c r="BC2299" s="333"/>
      <c r="BD2299" s="397"/>
      <c r="BE2299" s="333"/>
      <c r="BF2299" s="397"/>
    </row>
    <row r="2300" spans="1:58">
      <c r="A2300" s="8"/>
      <c r="B2300" s="23" t="str">
        <f>IF($C$1="ENG","I (240 - 260 mm)","I (240 - 260 мм)")</f>
        <v>I (240 - 260 мм)</v>
      </c>
      <c r="C2300" s="431"/>
      <c r="D2300" s="25">
        <f t="shared" si="285"/>
        <v>3741.666666666667</v>
      </c>
      <c r="E2300" s="268">
        <f t="shared" si="286"/>
        <v>4490</v>
      </c>
      <c r="F2300" s="271">
        <f t="shared" si="287"/>
        <v>5241.666666666667</v>
      </c>
      <c r="G2300" s="69">
        <f t="shared" si="288"/>
        <v>6290</v>
      </c>
      <c r="H2300" s="25">
        <f t="shared" si="289"/>
        <v>4308.3333333333339</v>
      </c>
      <c r="I2300" s="268">
        <f t="shared" si="290"/>
        <v>5170.0000000000009</v>
      </c>
      <c r="J2300" s="271">
        <f t="shared" si="291"/>
        <v>6033.3333333333339</v>
      </c>
      <c r="K2300" s="69">
        <f t="shared" si="292"/>
        <v>7240.0000000000009</v>
      </c>
      <c r="L2300" s="25">
        <f t="shared" si="293"/>
        <v>4416.666666666667</v>
      </c>
      <c r="M2300" s="268">
        <f t="shared" si="294"/>
        <v>5300</v>
      </c>
      <c r="N2300" s="271">
        <f t="shared" si="295"/>
        <v>6191.666666666667</v>
      </c>
      <c r="O2300" s="69">
        <f t="shared" si="296"/>
        <v>7430</v>
      </c>
      <c r="P2300" s="25">
        <f t="shared" si="297"/>
        <v>4700</v>
      </c>
      <c r="Q2300" s="268">
        <f t="shared" si="298"/>
        <v>5640</v>
      </c>
      <c r="R2300" s="271">
        <f t="shared" si="299"/>
        <v>6583.3333333333339</v>
      </c>
      <c r="S2300" s="69">
        <f t="shared" si="300"/>
        <v>7900</v>
      </c>
      <c r="T2300" s="25">
        <f t="shared" si="301"/>
        <v>5016.666666666667</v>
      </c>
      <c r="U2300" s="268">
        <f t="shared" si="302"/>
        <v>6020</v>
      </c>
      <c r="V2300" s="271">
        <f t="shared" si="303"/>
        <v>7016.666666666667</v>
      </c>
      <c r="W2300" s="402">
        <f t="shared" si="304"/>
        <v>8420</v>
      </c>
      <c r="X2300" s="399"/>
      <c r="Y2300" s="59"/>
      <c r="Z2300" s="28"/>
      <c r="AA2300" s="59"/>
      <c r="AB2300" s="22"/>
      <c r="AC2300" s="331">
        <v>4490</v>
      </c>
      <c r="AD2300" s="331">
        <v>6290</v>
      </c>
      <c r="AE2300" s="331">
        <v>5170</v>
      </c>
      <c r="AF2300" s="331">
        <v>7240</v>
      </c>
      <c r="AG2300" s="331">
        <v>5300</v>
      </c>
      <c r="AH2300" s="331">
        <v>7430</v>
      </c>
      <c r="AI2300" s="331">
        <v>5640</v>
      </c>
      <c r="AJ2300" s="331">
        <v>7900</v>
      </c>
      <c r="AK2300" s="331">
        <v>6020</v>
      </c>
      <c r="AL2300" s="331">
        <v>8420</v>
      </c>
      <c r="AM2300" s="333">
        <v>4490</v>
      </c>
      <c r="AN2300" s="309">
        <f t="shared" si="305"/>
        <v>0</v>
      </c>
      <c r="AO2300" s="333">
        <f t="shared" si="306"/>
        <v>1796</v>
      </c>
      <c r="AP2300" s="397">
        <f t="shared" si="307"/>
        <v>-0.71446740858505564</v>
      </c>
      <c r="AQ2300" s="333">
        <v>5170</v>
      </c>
      <c r="AR2300" s="397">
        <f t="shared" si="308"/>
        <v>0</v>
      </c>
      <c r="AS2300" s="333">
        <v>7240</v>
      </c>
      <c r="AT2300" s="397">
        <f t="shared" si="309"/>
        <v>0</v>
      </c>
      <c r="AU2300" s="333">
        <v>5300</v>
      </c>
      <c r="AV2300" s="397">
        <f t="shared" si="310"/>
        <v>0</v>
      </c>
      <c r="AW2300" s="333">
        <v>7430</v>
      </c>
      <c r="AX2300" s="397"/>
      <c r="AY2300" s="333"/>
      <c r="AZ2300" s="397"/>
      <c r="BA2300" s="333"/>
      <c r="BB2300" s="397"/>
      <c r="BC2300" s="333"/>
      <c r="BD2300" s="397"/>
      <c r="BE2300" s="333"/>
      <c r="BF2300" s="397"/>
    </row>
    <row r="2301" spans="1:58" s="48" customFormat="1" ht="24.95" customHeight="1">
      <c r="B2301" s="54" t="str">
        <f>IF($C$1="ENG","ADJUSTABLE PANELS","ПЛАНКИ РЕГУЛЮВАЛЬНІ")</f>
        <v>ПЛАНКИ РЕГУЛЮВАЛЬНІ</v>
      </c>
      <c r="C2301" s="426"/>
      <c r="D2301" s="28"/>
      <c r="E2301" s="563" t="str">
        <f>IF($C$1="ENG","For Door Frames Verto-FIT, Verto-FIT  Plus","Для Дверних Коробок Verto-FIT, Verto-FIT  Plus")</f>
        <v>Для Дверних Коробок Verto-FIT, Verto-FIT  Plus</v>
      </c>
      <c r="F2301" s="563"/>
      <c r="G2301" s="563"/>
      <c r="H2301" s="563"/>
      <c r="I2301" s="563"/>
      <c r="J2301" s="563"/>
      <c r="K2301" s="563"/>
      <c r="L2301" s="28"/>
      <c r="M2301" s="105"/>
      <c r="N2301" s="28"/>
      <c r="O2301" s="29"/>
      <c r="P2301" s="28"/>
      <c r="Q2301" s="105"/>
      <c r="R2301" s="28"/>
      <c r="S2301" s="29"/>
      <c r="T2301" s="152"/>
      <c r="U2301" s="154"/>
      <c r="V2301" s="152"/>
      <c r="W2301" s="153"/>
      <c r="Y2301" s="59"/>
      <c r="Z2301" s="28"/>
      <c r="AA2301" s="59"/>
      <c r="AC2301" s="142"/>
      <c r="AN2301" s="56"/>
      <c r="AO2301" s="387"/>
      <c r="AP2301" s="387"/>
      <c r="AQ2301" s="56"/>
      <c r="AR2301" s="56"/>
      <c r="AS2301" s="56"/>
      <c r="AT2301" s="56"/>
    </row>
    <row r="2302" spans="1:58" ht="34.5" customHeight="1">
      <c r="A2302" s="8"/>
      <c r="B2302" s="243" t="str">
        <f>IF($C$1="ENG","Panel (1 set) 80 mm","Планка (1 к-т) 80 мм")</f>
        <v>Планка (1 к-т) 80 мм</v>
      </c>
      <c r="C2302" s="432"/>
      <c r="D2302" s="15">
        <f>IF(AC2302="","",(1-$W$2)*(AC2302/1.2))</f>
        <v>883.33333333333337</v>
      </c>
      <c r="E2302" s="298">
        <f>IF($W$5=0.2,D2302*1.2,D2302)/$W$4</f>
        <v>1060</v>
      </c>
      <c r="F2302" s="269">
        <f>IF(AD2302="","",(1-$W$2)*(AD2302/1.2))</f>
        <v>1150</v>
      </c>
      <c r="G2302" s="64">
        <f>IF($W$5=0.2,F2302*1.2,F2302)/$W$4</f>
        <v>1380</v>
      </c>
      <c r="H2302" s="15">
        <f>IF(AE2302="","",(1-$W$2)*(AE2302/1.2))</f>
        <v>1025</v>
      </c>
      <c r="I2302" s="266">
        <f>IF($W$5=0.2,H2302*1.2,H2302)/$W$4</f>
        <v>1230</v>
      </c>
      <c r="J2302" s="269">
        <f>IF(AF2302="","",(1-$W$2)*(AF2302/1.2))</f>
        <v>1341.6666666666667</v>
      </c>
      <c r="K2302" s="64">
        <f>IF($W$5=0.2,J2302*1.2,J2302)/$W$4</f>
        <v>1610</v>
      </c>
      <c r="L2302" s="15">
        <f>IF(AG2302="","",(1-$W$2)*(AG2302/1.2))</f>
        <v>1075</v>
      </c>
      <c r="M2302" s="266">
        <f>IF($W$5=0.2,L2302*1.2,L2302)/$W$4</f>
        <v>1290</v>
      </c>
      <c r="N2302" s="269">
        <f>IF(AH2302="","",(1-$W$2)*(AH2302/1.2))</f>
        <v>1408.3333333333335</v>
      </c>
      <c r="O2302" s="64">
        <f>IF($W$5=0.2,N2302*1.2,N2302)/$W$4</f>
        <v>1690.0000000000002</v>
      </c>
      <c r="P2302" s="15">
        <f>IF(AI2302="","",(1-$W$2)*(AI2302/1.2))</f>
        <v>1166.6666666666667</v>
      </c>
      <c r="Q2302" s="266">
        <f>IF($W$5=0.2,P2302*1.2,P2302)/$W$4</f>
        <v>1400</v>
      </c>
      <c r="R2302" s="269">
        <f>IF(AJ2302="","",(1-$W$2)*(AJ2302/1.2))</f>
        <v>1516.6666666666667</v>
      </c>
      <c r="S2302" s="64">
        <f>IF($W$5=0.2,R2302*1.2,R2302)/$W$4</f>
        <v>1820</v>
      </c>
      <c r="T2302" s="15">
        <f>IF(AK2302="","",(1-$W$2)*(AK2302/1.2))</f>
        <v>1225</v>
      </c>
      <c r="U2302" s="266">
        <f>IF($W$5=0.2,T2302*1.2,T2302)/$W$4</f>
        <v>1470</v>
      </c>
      <c r="V2302" s="269">
        <f>IF(AL2302="","",(1-$W$2)*(AL2302/1.2))</f>
        <v>1591.6666666666667</v>
      </c>
      <c r="W2302" s="400">
        <f>IF($W$5=0.2,V2302*1.2,V2302)/$W$4</f>
        <v>1910</v>
      </c>
      <c r="X2302" s="399"/>
      <c r="Y2302" s="399"/>
      <c r="Z2302" s="399"/>
      <c r="AA2302" s="399"/>
      <c r="AB2302" s="22"/>
      <c r="AC2302" s="331">
        <v>1060</v>
      </c>
      <c r="AD2302" s="331">
        <v>1380</v>
      </c>
      <c r="AE2302" s="331">
        <v>1230</v>
      </c>
      <c r="AF2302" s="331">
        <v>1610</v>
      </c>
      <c r="AG2302" s="331">
        <v>1290</v>
      </c>
      <c r="AH2302" s="331">
        <v>1690</v>
      </c>
      <c r="AI2302" s="331">
        <v>1400</v>
      </c>
      <c r="AJ2302" s="331">
        <v>1820</v>
      </c>
      <c r="AK2302" s="331">
        <v>1470</v>
      </c>
      <c r="AL2302" s="331">
        <v>1910</v>
      </c>
      <c r="AM2302" s="333">
        <v>1060</v>
      </c>
      <c r="AN2302" s="309">
        <f>AM2302/AC2302-1</f>
        <v>0</v>
      </c>
      <c r="AO2302" s="333">
        <v>1380</v>
      </c>
      <c r="AP2302" s="397">
        <f>AO2302/AD2302-1</f>
        <v>0</v>
      </c>
      <c r="AQ2302" s="333">
        <v>1230</v>
      </c>
      <c r="AR2302" s="333">
        <f>AQ2302/AE2302-1</f>
        <v>0</v>
      </c>
      <c r="AS2302" s="333">
        <v>1610</v>
      </c>
      <c r="AT2302" s="333">
        <f>AS2302/AF2302-1</f>
        <v>0</v>
      </c>
      <c r="AU2302" s="333">
        <v>1290</v>
      </c>
      <c r="AV2302" s="333">
        <f>AU2302/AG2302-1</f>
        <v>0</v>
      </c>
      <c r="AW2302" s="1">
        <v>1690</v>
      </c>
    </row>
    <row r="2303" spans="1:58" ht="34.5" customHeight="1">
      <c r="A2303" s="8"/>
      <c r="B2303" s="311" t="str">
        <f>IF($C$1="ENG","Panel (1 set) 160 mm","Планка (1 к-т) 160 мм")</f>
        <v>Планка (1 к-т) 160 мм</v>
      </c>
      <c r="C2303" s="430"/>
      <c r="D2303" s="18">
        <f>IF(AC2303="","",(1-$W$2)*(AC2303/1.2))</f>
        <v>1508.3333333333335</v>
      </c>
      <c r="E2303" s="267">
        <f>IF($W$5=0.2,D2303*1.2,D2303)/$W$4</f>
        <v>1810.0000000000002</v>
      </c>
      <c r="F2303" s="270">
        <f>IF(AD2303="","",(1-$W$2)*(AD2303/1.2))</f>
        <v>1958.3333333333335</v>
      </c>
      <c r="G2303" s="66">
        <f>IF($W$5=0.2,F2303*1.2,F2303)/$W$4</f>
        <v>2350</v>
      </c>
      <c r="H2303" s="18">
        <f>IF(AE2303="","",(1-$W$2)*(AE2303/1.2))</f>
        <v>1741.6666666666667</v>
      </c>
      <c r="I2303" s="267">
        <f>IF($W$5=0.2,H2303*1.2,H2303)/$W$4</f>
        <v>2090</v>
      </c>
      <c r="J2303" s="270">
        <f>IF(AF2303="","",(1-$W$2)*(AF2303/1.2))</f>
        <v>2275</v>
      </c>
      <c r="K2303" s="66">
        <f>IF($W$5=0.2,J2303*1.2,J2303)/$W$4</f>
        <v>2730</v>
      </c>
      <c r="L2303" s="18">
        <f>IF(AG2303="","",(1-$W$2)*(AG2303/1.2))</f>
        <v>1858.3333333333335</v>
      </c>
      <c r="M2303" s="267">
        <f>IF($W$5=0.2,L2303*1.2,L2303)/$W$4</f>
        <v>2230</v>
      </c>
      <c r="N2303" s="270">
        <f>IF(AH2303="","",(1-$W$2)*(AH2303/1.2))</f>
        <v>2408.3333333333335</v>
      </c>
      <c r="O2303" s="66">
        <f>IF($W$5=0.2,N2303*1.2,N2303)/$W$4</f>
        <v>2890</v>
      </c>
      <c r="P2303" s="18">
        <f>IF(AI2303="","",(1-$W$2)*(AI2303/1.2))</f>
        <v>1966.6666666666667</v>
      </c>
      <c r="Q2303" s="267">
        <f>IF($W$5=0.2,P2303*1.2,P2303)/$W$4</f>
        <v>2360</v>
      </c>
      <c r="R2303" s="270">
        <f>IF(AJ2303="","",(1-$W$2)*(AJ2303/1.2))</f>
        <v>2575</v>
      </c>
      <c r="S2303" s="66">
        <f>IF($W$5=0.2,R2303*1.2,R2303)/$W$4</f>
        <v>3090</v>
      </c>
      <c r="T2303" s="18">
        <f>IF(AK2303="","",(1-$W$2)*(AK2303/1.2))</f>
        <v>2133.3333333333335</v>
      </c>
      <c r="U2303" s="267">
        <f>IF($W$5=0.2,T2303*1.2,T2303)/$W$4</f>
        <v>2560</v>
      </c>
      <c r="V2303" s="270">
        <f>IF(AL2303="","",(1-$W$2)*(AL2303/1.2))</f>
        <v>2758.3333333333335</v>
      </c>
      <c r="W2303" s="66">
        <f>IF($W$5=0.2,V2303*1.2,V2303)/$W$4</f>
        <v>3310</v>
      </c>
      <c r="X2303" s="22"/>
      <c r="Y2303" s="22"/>
      <c r="Z2303" s="22"/>
      <c r="AA2303" s="22"/>
      <c r="AB2303" s="22"/>
      <c r="AC2303" s="331">
        <v>1810</v>
      </c>
      <c r="AD2303" s="331">
        <v>2350</v>
      </c>
      <c r="AE2303" s="331">
        <v>2090</v>
      </c>
      <c r="AF2303" s="331">
        <v>2730</v>
      </c>
      <c r="AG2303" s="331">
        <v>2230</v>
      </c>
      <c r="AH2303" s="331">
        <v>2890</v>
      </c>
      <c r="AI2303" s="331">
        <v>2360</v>
      </c>
      <c r="AJ2303" s="331">
        <v>3090</v>
      </c>
      <c r="AK2303" s="331">
        <v>2560</v>
      </c>
      <c r="AL2303" s="331">
        <v>3310</v>
      </c>
      <c r="AM2303" s="333">
        <v>1810</v>
      </c>
      <c r="AN2303" s="309">
        <f t="shared" ref="AN2303:AN2304" si="311">AM2303/AC2303-1</f>
        <v>0</v>
      </c>
      <c r="AO2303" s="333">
        <v>2350</v>
      </c>
      <c r="AP2303" s="397">
        <f t="shared" ref="AP2303:AP2304" si="312">AO2303/AD2303-1</f>
        <v>0</v>
      </c>
      <c r="AQ2303" s="333">
        <v>2090</v>
      </c>
      <c r="AR2303" s="333">
        <f t="shared" ref="AR2303:AR2304" si="313">AQ2303/AE2303-1</f>
        <v>0</v>
      </c>
      <c r="AS2303" s="333">
        <v>2730</v>
      </c>
      <c r="AT2303" s="333">
        <f t="shared" ref="AT2303:AT2304" si="314">AS2303/AF2303-1</f>
        <v>0</v>
      </c>
      <c r="AU2303" s="333">
        <v>2230</v>
      </c>
      <c r="AV2303" s="333">
        <f t="shared" ref="AV2303:AV2304" si="315">AU2303/AG2303-1</f>
        <v>0</v>
      </c>
      <c r="AW2303" s="1">
        <v>2890</v>
      </c>
    </row>
    <row r="2304" spans="1:58" ht="34.5" customHeight="1">
      <c r="A2304" s="8"/>
      <c r="B2304" s="107" t="str">
        <f>IF($C$1="ENG","Panel (1 set) 200 mm","Планка (1 к-т) 200 мм")</f>
        <v>Планка (1 к-т) 200 мм</v>
      </c>
      <c r="C2304" s="431"/>
      <c r="D2304" s="25">
        <f>IF(AC2304="","",(1-$W$2)*(AC2304/1.2))</f>
        <v>1833.3333333333335</v>
      </c>
      <c r="E2304" s="268">
        <f>IF($W$5=0.2,D2304*1.2,D2304)/$W$4</f>
        <v>2200</v>
      </c>
      <c r="F2304" s="271">
        <f>IF(AD2304="","",(1-$W$2)*(AD2304/1.2))</f>
        <v>2383.3333333333335</v>
      </c>
      <c r="G2304" s="69">
        <f>IF($W$5=0.2,F2304*1.2,F2304)/$W$4</f>
        <v>2860</v>
      </c>
      <c r="H2304" s="25">
        <f>IF(AE2304="","",(1-$W$2)*(AE2304/1.2))</f>
        <v>2116.666666666667</v>
      </c>
      <c r="I2304" s="268">
        <f>IF($W$5=0.2,H2304*1.2,H2304)/$W$4</f>
        <v>2540.0000000000005</v>
      </c>
      <c r="J2304" s="271">
        <f>IF(AF2304="","",(1-$W$2)*(AF2304/1.2))</f>
        <v>2750</v>
      </c>
      <c r="K2304" s="69">
        <f>IF($W$5=0.2,J2304*1.2,J2304)/$W$4</f>
        <v>3300</v>
      </c>
      <c r="L2304" s="25">
        <f>IF(AG2304="","",(1-$W$2)*(AG2304/1.2))</f>
        <v>2275</v>
      </c>
      <c r="M2304" s="268">
        <f>IF($W$5=0.2,L2304*1.2,L2304)/$W$4</f>
        <v>2730</v>
      </c>
      <c r="N2304" s="271">
        <f>IF(AH2304="","",(1-$W$2)*(AH2304/1.2))</f>
        <v>2950</v>
      </c>
      <c r="O2304" s="69">
        <f>IF($W$5=0.2,N2304*1.2,N2304)/$W$4</f>
        <v>3540</v>
      </c>
      <c r="P2304" s="25">
        <f>IF(AI2304="","",(1-$W$2)*(AI2304/1.2))</f>
        <v>2391.666666666667</v>
      </c>
      <c r="Q2304" s="268">
        <f>IF($W$5=0.2,P2304*1.2,P2304)/$W$4</f>
        <v>2870.0000000000005</v>
      </c>
      <c r="R2304" s="271">
        <f>IF(AJ2304="","",(1-$W$2)*(AJ2304/1.2))</f>
        <v>3108.3333333333335</v>
      </c>
      <c r="S2304" s="69">
        <f>IF($W$5=0.2,R2304*1.2,R2304)/$W$4</f>
        <v>3730</v>
      </c>
      <c r="T2304" s="25">
        <f>IF(AK2304="","",(1-$W$2)*(AK2304/1.2))</f>
        <v>2600</v>
      </c>
      <c r="U2304" s="268">
        <f>IF($W$5=0.2,T2304*1.2,T2304)/$W$4</f>
        <v>3120</v>
      </c>
      <c r="V2304" s="271">
        <f>IF(AL2304="","",(1-$W$2)*(AL2304/1.2))</f>
        <v>3383.3333333333335</v>
      </c>
      <c r="W2304" s="69">
        <f>IF($W$5=0.2,V2304*1.2,V2304)/$W$4</f>
        <v>4060</v>
      </c>
      <c r="X2304" s="22"/>
      <c r="Y2304" s="22"/>
      <c r="Z2304" s="22"/>
      <c r="AA2304" s="22"/>
      <c r="AB2304" s="22"/>
      <c r="AC2304" s="331">
        <v>2200</v>
      </c>
      <c r="AD2304" s="331">
        <v>2860</v>
      </c>
      <c r="AE2304" s="331">
        <v>2540</v>
      </c>
      <c r="AF2304" s="331">
        <v>3300</v>
      </c>
      <c r="AG2304" s="331">
        <v>2730</v>
      </c>
      <c r="AH2304" s="331">
        <v>3540</v>
      </c>
      <c r="AI2304" s="331">
        <v>2870</v>
      </c>
      <c r="AJ2304" s="331">
        <v>3730</v>
      </c>
      <c r="AK2304" s="331">
        <v>3120</v>
      </c>
      <c r="AL2304" s="331">
        <v>4060</v>
      </c>
      <c r="AM2304" s="333">
        <v>2200</v>
      </c>
      <c r="AN2304" s="309">
        <f t="shared" si="311"/>
        <v>0</v>
      </c>
      <c r="AO2304" s="333">
        <v>2860</v>
      </c>
      <c r="AP2304" s="397">
        <f t="shared" si="312"/>
        <v>0</v>
      </c>
      <c r="AQ2304" s="333">
        <v>2540</v>
      </c>
      <c r="AR2304" s="333">
        <f t="shared" si="313"/>
        <v>0</v>
      </c>
      <c r="AS2304" s="333">
        <v>3300</v>
      </c>
      <c r="AT2304" s="333">
        <f t="shared" si="314"/>
        <v>0</v>
      </c>
      <c r="AU2304" s="333">
        <v>2730</v>
      </c>
      <c r="AV2304" s="333">
        <f t="shared" si="315"/>
        <v>0</v>
      </c>
      <c r="AW2304" s="1">
        <v>3540</v>
      </c>
    </row>
    <row r="2305" spans="2:49">
      <c r="C2305" s="244"/>
      <c r="D2305" s="26"/>
      <c r="E2305" s="57"/>
      <c r="F2305" s="57"/>
      <c r="G2305" s="57"/>
      <c r="H2305" s="57"/>
      <c r="I2305" s="57"/>
      <c r="J2305" s="57"/>
      <c r="K2305" s="57"/>
      <c r="L2305" s="57"/>
      <c r="M2305" s="57"/>
      <c r="N2305" s="57"/>
      <c r="O2305" s="57"/>
      <c r="P2305" s="57"/>
      <c r="Q2305" s="57"/>
      <c r="R2305" s="57"/>
      <c r="S2305" s="57"/>
      <c r="T2305" s="57"/>
      <c r="U2305" s="57"/>
      <c r="V2305" s="57">
        <f t="shared" ref="V2305" si="316">V2303/100*30</f>
        <v>827.50000000000011</v>
      </c>
      <c r="W2305" s="57"/>
      <c r="AD2305" s="1">
        <f>AD2304-AC2304</f>
        <v>660</v>
      </c>
      <c r="AF2305" s="1">
        <f>AF2304-AE2304</f>
        <v>760</v>
      </c>
      <c r="AH2305" s="1">
        <f>AH2304-AG2304</f>
        <v>810</v>
      </c>
      <c r="AJ2305" s="1">
        <f>AJ2304-AI2304</f>
        <v>860</v>
      </c>
      <c r="AL2305" s="1">
        <f>AL2304-AK2304</f>
        <v>940</v>
      </c>
      <c r="AP2305" s="332"/>
      <c r="AQ2305" s="332"/>
      <c r="AR2305" s="332"/>
      <c r="AT2305" s="386"/>
    </row>
    <row r="2306" spans="2:49">
      <c r="B2306" s="211" t="str">
        <f>IF($C$1="ENG","For additonal charge:","Послуги за додаткову плату:")</f>
        <v>Послуги за додаткову плату:</v>
      </c>
      <c r="C2306" s="419"/>
      <c r="D2306" s="212"/>
      <c r="E2306" s="213"/>
      <c r="F2306" s="39"/>
      <c r="G2306" s="39"/>
      <c r="H2306" s="10"/>
      <c r="I2306" s="83"/>
      <c r="J2306" s="8"/>
      <c r="K2306" s="8"/>
      <c r="L2306" s="104"/>
      <c r="N2306" s="104"/>
      <c r="P2306" s="104"/>
      <c r="R2306" s="104"/>
      <c r="U2306" s="20"/>
      <c r="W2306" s="20"/>
      <c r="AP2306" s="332"/>
      <c r="AQ2306" s="332"/>
      <c r="AR2306" s="332"/>
      <c r="AT2306" s="386"/>
    </row>
    <row r="2307" spans="2:49" ht="5.0999999999999996" customHeight="1">
      <c r="B2307" s="27"/>
      <c r="C2307" s="244"/>
      <c r="D2307" s="26"/>
      <c r="E2307" s="57"/>
      <c r="F2307" s="26"/>
      <c r="G2307" s="26"/>
      <c r="H2307" s="10"/>
      <c r="I2307" s="8"/>
      <c r="J2307" s="8"/>
      <c r="K2307" s="8"/>
      <c r="U2307" s="20"/>
      <c r="W2307" s="20"/>
      <c r="AP2307" s="333"/>
      <c r="AQ2307" s="333"/>
      <c r="AR2307" s="333"/>
      <c r="AS2307" s="309"/>
      <c r="AT2307" s="385"/>
    </row>
    <row r="2308" spans="2:49">
      <c r="B2308" s="568" t="str">
        <f>IF($C$1="ENG","third door hindge","третя завіса")</f>
        <v>третя завіса</v>
      </c>
      <c r="C2308" s="569"/>
      <c r="D2308" s="51">
        <f>IF(AC2308="","",(1-$W$2)*(AC2308/1.2))</f>
        <v>66.666666666666671</v>
      </c>
      <c r="E2308" s="84">
        <f>IF($W$5=0.2,D2308*1.2,D2308)/$W$4</f>
        <v>80</v>
      </c>
      <c r="F2308" s="26"/>
      <c r="G2308" s="26"/>
      <c r="H2308" s="10"/>
      <c r="I2308" s="83"/>
      <c r="J2308" s="8"/>
      <c r="K2308" s="83"/>
      <c r="U2308" s="20"/>
      <c r="W2308" s="20"/>
      <c r="AC2308" s="297">
        <v>80</v>
      </c>
      <c r="AE2308" s="30"/>
      <c r="AF2308" s="288"/>
      <c r="AG2308" s="288"/>
      <c r="AH2308" s="288"/>
      <c r="AI2308" s="288"/>
      <c r="AJ2308" s="288"/>
      <c r="AK2308" s="288"/>
      <c r="AL2308" s="288"/>
      <c r="AP2308" s="332"/>
      <c r="AQ2308" s="332"/>
      <c r="AR2308" s="332"/>
      <c r="AT2308" s="386"/>
    </row>
    <row r="2309" spans="2:49" ht="14.25" customHeight="1">
      <c r="T2309" s="570" t="str">
        <f>IF($C$1="ENG",CONCATENATE("down to: ",B2359),CONCATENATE("вниз до: ",B2359))</f>
        <v>вниз до: Дверна коробка Verto-FIT Plus</v>
      </c>
      <c r="U2309" s="570"/>
      <c r="V2309" s="570"/>
      <c r="W2309" s="570"/>
      <c r="AP2309" s="332"/>
      <c r="AQ2309" s="332"/>
      <c r="AR2309" s="332"/>
      <c r="AT2309" s="386"/>
    </row>
    <row r="2310" spans="2:49" ht="14.25" customHeight="1">
      <c r="C2310" s="244"/>
      <c r="D2310" s="26"/>
      <c r="E2310" s="26"/>
      <c r="F2310" s="26"/>
      <c r="G2310" s="57"/>
      <c r="H2310" s="5"/>
      <c r="K2310" s="83"/>
      <c r="L2310" s="278"/>
      <c r="O2310" s="57"/>
      <c r="P2310" s="278"/>
      <c r="S2310" s="57"/>
      <c r="T2310" s="278"/>
      <c r="W2310" s="57"/>
      <c r="X2310" s="278"/>
      <c r="Y2310" s="278"/>
      <c r="Z2310" s="278"/>
      <c r="AA2310" s="278"/>
      <c r="AB2310" s="278"/>
      <c r="AP2310" s="332"/>
      <c r="AQ2310" s="332"/>
      <c r="AR2310" s="332"/>
      <c r="AT2310" s="386"/>
    </row>
    <row r="2311" spans="2:49" ht="14.25" customHeight="1">
      <c r="C2311" s="244"/>
      <c r="D2311" s="26"/>
      <c r="E2311" s="26"/>
      <c r="F2311" s="26"/>
      <c r="G2311" s="57"/>
      <c r="H2311" s="278"/>
      <c r="K2311" s="57"/>
      <c r="L2311" s="278"/>
      <c r="M2311" s="248"/>
      <c r="N2311" s="244"/>
      <c r="O2311" s="248"/>
      <c r="P2311" s="278"/>
      <c r="Q2311" s="248"/>
      <c r="R2311" s="244"/>
      <c r="S2311" s="248"/>
      <c r="T2311" s="278"/>
      <c r="U2311" s="248"/>
      <c r="V2311" s="244"/>
      <c r="W2311" s="248"/>
      <c r="X2311" s="278"/>
      <c r="Y2311" s="278"/>
      <c r="Z2311" s="278"/>
      <c r="AA2311" s="278"/>
      <c r="AB2311" s="278"/>
      <c r="AP2311" s="332"/>
      <c r="AQ2311" s="332"/>
      <c r="AR2311" s="332"/>
      <c r="AT2311" s="386"/>
    </row>
    <row r="2312" spans="2:49" ht="14.25" customHeight="1">
      <c r="C2312" s="244"/>
      <c r="D2312" s="244"/>
      <c r="F2312" s="244"/>
      <c r="G2312" s="248"/>
      <c r="H2312" s="278"/>
      <c r="I2312" s="248"/>
      <c r="J2312" s="244"/>
      <c r="K2312" s="248"/>
      <c r="L2312" s="278"/>
      <c r="M2312" s="283"/>
      <c r="N2312" s="244"/>
      <c r="O2312" s="248"/>
      <c r="P2312" s="278"/>
      <c r="Q2312" s="283"/>
      <c r="R2312" s="244"/>
      <c r="S2312" s="248"/>
      <c r="T2312" s="278"/>
      <c r="U2312" s="283"/>
      <c r="V2312" s="244"/>
      <c r="W2312" s="248"/>
      <c r="X2312" s="278"/>
      <c r="Y2312" s="278"/>
      <c r="Z2312" s="278"/>
      <c r="AA2312" s="278"/>
      <c r="AB2312" s="278"/>
    </row>
    <row r="2313" spans="2:49" ht="14.25" customHeight="1">
      <c r="C2313" s="244"/>
      <c r="D2313" s="244"/>
      <c r="E2313" s="283"/>
      <c r="F2313" s="244"/>
      <c r="G2313" s="248"/>
      <c r="H2313" s="278"/>
      <c r="I2313" s="283"/>
      <c r="J2313" s="244"/>
      <c r="K2313" s="248"/>
      <c r="L2313" s="278"/>
      <c r="M2313" s="283"/>
      <c r="N2313" s="244"/>
      <c r="O2313" s="248"/>
      <c r="P2313" s="278"/>
      <c r="Q2313" s="283"/>
      <c r="R2313" s="244"/>
      <c r="S2313" s="248"/>
      <c r="T2313" s="278"/>
      <c r="U2313" s="283"/>
      <c r="V2313" s="244"/>
      <c r="W2313" s="248"/>
      <c r="X2313" s="278"/>
      <c r="Y2313" s="278"/>
      <c r="Z2313" s="278"/>
      <c r="AA2313" s="278"/>
      <c r="AB2313" s="278"/>
    </row>
    <row r="2314" spans="2:49" ht="14.25" customHeight="1">
      <c r="C2314" s="244"/>
      <c r="D2314" s="244"/>
      <c r="E2314" s="283"/>
      <c r="F2314" s="244"/>
      <c r="G2314" s="248"/>
      <c r="H2314" s="278"/>
      <c r="I2314" s="283"/>
      <c r="J2314" s="244"/>
      <c r="K2314" s="248"/>
      <c r="L2314" s="278"/>
      <c r="M2314" s="283"/>
      <c r="N2314" s="244"/>
      <c r="O2314" s="248"/>
      <c r="P2314" s="278"/>
      <c r="Q2314" s="283"/>
      <c r="R2314" s="244"/>
      <c r="S2314" s="248"/>
      <c r="T2314" s="278"/>
      <c r="U2314" s="283"/>
      <c r="V2314" s="244"/>
      <c r="W2314" s="248"/>
      <c r="X2314" s="278"/>
      <c r="Y2314" s="278"/>
      <c r="Z2314" s="278"/>
      <c r="AA2314" s="278"/>
      <c r="AB2314" s="278"/>
    </row>
    <row r="2315" spans="2:49" ht="14.25" customHeight="1">
      <c r="C2315" s="244"/>
      <c r="D2315" s="244"/>
      <c r="E2315" s="283"/>
      <c r="F2315" s="244"/>
      <c r="G2315" s="248"/>
      <c r="H2315" s="278"/>
      <c r="I2315" s="283"/>
      <c r="J2315" s="244"/>
      <c r="K2315" s="248"/>
      <c r="L2315" s="278"/>
      <c r="M2315" s="283"/>
      <c r="N2315" s="244"/>
      <c r="O2315" s="248"/>
      <c r="P2315" s="278"/>
      <c r="Q2315" s="283"/>
      <c r="R2315" s="244"/>
      <c r="S2315" s="248"/>
      <c r="T2315" s="278"/>
      <c r="U2315" s="283"/>
      <c r="V2315" s="244"/>
      <c r="W2315" s="248"/>
      <c r="X2315" s="278"/>
      <c r="Y2315" s="278"/>
      <c r="Z2315" s="278"/>
      <c r="AA2315" s="278"/>
      <c r="AB2315" s="278"/>
    </row>
    <row r="2316" spans="2:49" ht="14.25" customHeight="1">
      <c r="C2316" s="244"/>
      <c r="D2316" s="244"/>
      <c r="E2316" s="283"/>
      <c r="F2316" s="244"/>
      <c r="G2316" s="248"/>
      <c r="H2316" s="278"/>
      <c r="I2316" s="283"/>
      <c r="J2316" s="244"/>
      <c r="K2316" s="248"/>
      <c r="L2316" s="278"/>
      <c r="M2316" s="283"/>
      <c r="N2316" s="244"/>
      <c r="O2316" s="248"/>
      <c r="P2316" s="278"/>
      <c r="Q2316" s="283"/>
      <c r="R2316" s="244"/>
      <c r="S2316" s="248"/>
      <c r="T2316" s="278"/>
      <c r="U2316" s="283"/>
      <c r="V2316" s="244"/>
      <c r="W2316" s="248"/>
      <c r="X2316" s="278"/>
      <c r="Y2316" s="278"/>
      <c r="Z2316" s="278"/>
      <c r="AA2316" s="278"/>
      <c r="AB2316" s="278"/>
      <c r="AM2316" s="1">
        <f>AC2316/100*13+AC2316</f>
        <v>0</v>
      </c>
      <c r="AN2316" s="30" t="e">
        <f>AM2316/AC2316-1</f>
        <v>#DIV/0!</v>
      </c>
      <c r="AO2316" s="30">
        <f>AD2316/100*13+AD2316</f>
        <v>0</v>
      </c>
      <c r="AP2316" s="30" t="e">
        <f>AO2316/AD2316-1</f>
        <v>#DIV/0!</v>
      </c>
      <c r="AQ2316" s="30">
        <f>AE2316/100*13+AE2316</f>
        <v>0</v>
      </c>
      <c r="AR2316" s="30" t="e">
        <f>AQ2316/AE2316-1</f>
        <v>#DIV/0!</v>
      </c>
      <c r="AS2316" s="30">
        <f>AF2316/100*13+AF2316</f>
        <v>0</v>
      </c>
      <c r="AT2316" s="30" t="e">
        <f>AS2316/AF2316-1</f>
        <v>#DIV/0!</v>
      </c>
      <c r="AU2316" s="1">
        <f>AG2316/100*13+AG2316</f>
        <v>0</v>
      </c>
      <c r="AV2316" s="1" t="e">
        <f>AU2316/AG2316-1</f>
        <v>#DIV/0!</v>
      </c>
      <c r="AW2316" s="1">
        <f>AH2316/100*13+AH2316</f>
        <v>0</v>
      </c>
    </row>
    <row r="2317" spans="2:49" ht="14.25" customHeight="1">
      <c r="C2317" s="244"/>
      <c r="D2317" s="244"/>
      <c r="E2317" s="283"/>
      <c r="F2317" s="244"/>
      <c r="G2317" s="248"/>
      <c r="H2317" s="278"/>
      <c r="I2317" s="283"/>
      <c r="J2317" s="244"/>
      <c r="K2317" s="248"/>
      <c r="L2317" s="278"/>
      <c r="M2317" s="283"/>
      <c r="N2317" s="244"/>
      <c r="O2317" s="248"/>
      <c r="P2317" s="278"/>
      <c r="Q2317" s="283"/>
      <c r="R2317" s="244"/>
      <c r="S2317" s="248"/>
      <c r="T2317" s="278"/>
      <c r="U2317" s="283"/>
      <c r="V2317" s="244"/>
      <c r="W2317" s="248"/>
      <c r="X2317" s="278"/>
      <c r="Y2317" s="278"/>
      <c r="Z2317" s="278"/>
      <c r="AA2317" s="278"/>
      <c r="AB2317" s="278"/>
      <c r="AM2317" s="1">
        <f t="shared" ref="AM2317:AM2325" si="317">AC2317/100*13+AC2317</f>
        <v>0</v>
      </c>
      <c r="AN2317" s="30" t="e">
        <f t="shared" ref="AN2317:AN2325" si="318">AM2317/AC2317-1</f>
        <v>#DIV/0!</v>
      </c>
      <c r="AO2317" s="30">
        <f t="shared" ref="AO2317:AO2325" si="319">AD2317/100*13+AD2317</f>
        <v>0</v>
      </c>
      <c r="AP2317" s="30" t="e">
        <f t="shared" ref="AP2317:AP2325" si="320">AO2317/AD2317-1</f>
        <v>#DIV/0!</v>
      </c>
      <c r="AQ2317" s="30">
        <f t="shared" ref="AQ2317:AQ2325" si="321">AE2317/100*13+AE2317</f>
        <v>0</v>
      </c>
      <c r="AR2317" s="30" t="e">
        <f t="shared" ref="AR2317:AR2325" si="322">AQ2317/AE2317-1</f>
        <v>#DIV/0!</v>
      </c>
      <c r="AS2317" s="30">
        <f t="shared" ref="AS2317:AS2325" si="323">AF2317/100*13+AF2317</f>
        <v>0</v>
      </c>
      <c r="AT2317" s="30" t="e">
        <f t="shared" ref="AT2317:AT2325" si="324">AS2317/AF2317-1</f>
        <v>#DIV/0!</v>
      </c>
      <c r="AU2317" s="1">
        <f t="shared" ref="AU2317:AU2325" si="325">AG2317/100*13+AG2317</f>
        <v>0</v>
      </c>
      <c r="AV2317" s="1" t="e">
        <f t="shared" ref="AV2317:AV2325" si="326">AU2317/AG2317-1</f>
        <v>#DIV/0!</v>
      </c>
      <c r="AW2317" s="1">
        <f t="shared" ref="AW2317:AW2325" si="327">AH2317/100*13+AH2317</f>
        <v>0</v>
      </c>
    </row>
    <row r="2318" spans="2:49" ht="14.25" customHeight="1">
      <c r="C2318" s="244"/>
      <c r="D2318" s="244"/>
      <c r="E2318" s="283"/>
      <c r="F2318" s="244"/>
      <c r="G2318" s="248"/>
      <c r="H2318" s="278"/>
      <c r="I2318" s="283"/>
      <c r="J2318" s="244"/>
      <c r="K2318" s="248"/>
      <c r="L2318" s="278"/>
      <c r="M2318" s="283"/>
      <c r="N2318" s="244"/>
      <c r="O2318" s="248"/>
      <c r="P2318" s="278"/>
      <c r="Q2318" s="283"/>
      <c r="R2318" s="244"/>
      <c r="S2318" s="248"/>
      <c r="T2318" s="278"/>
      <c r="U2318" s="283"/>
      <c r="V2318" s="244"/>
      <c r="W2318" s="248"/>
      <c r="X2318" s="278"/>
      <c r="Y2318" s="278"/>
      <c r="Z2318" s="278"/>
      <c r="AA2318" s="278"/>
      <c r="AB2318" s="278"/>
      <c r="AM2318" s="1">
        <f t="shared" si="317"/>
        <v>0</v>
      </c>
      <c r="AN2318" s="30" t="e">
        <f t="shared" si="318"/>
        <v>#DIV/0!</v>
      </c>
      <c r="AO2318" s="30">
        <f t="shared" si="319"/>
        <v>0</v>
      </c>
      <c r="AP2318" s="30" t="e">
        <f t="shared" si="320"/>
        <v>#DIV/0!</v>
      </c>
      <c r="AQ2318" s="30">
        <f t="shared" si="321"/>
        <v>0</v>
      </c>
      <c r="AR2318" s="30" t="e">
        <f t="shared" si="322"/>
        <v>#DIV/0!</v>
      </c>
      <c r="AS2318" s="30">
        <f t="shared" si="323"/>
        <v>0</v>
      </c>
      <c r="AT2318" s="30" t="e">
        <f t="shared" si="324"/>
        <v>#DIV/0!</v>
      </c>
      <c r="AU2318" s="1">
        <f t="shared" si="325"/>
        <v>0</v>
      </c>
      <c r="AV2318" s="1" t="e">
        <f t="shared" si="326"/>
        <v>#DIV/0!</v>
      </c>
      <c r="AW2318" s="1">
        <f t="shared" si="327"/>
        <v>0</v>
      </c>
    </row>
    <row r="2319" spans="2:49" ht="14.25" customHeight="1">
      <c r="C2319" s="244"/>
      <c r="D2319" s="244"/>
      <c r="E2319" s="283"/>
      <c r="F2319" s="244"/>
      <c r="G2319" s="248"/>
      <c r="H2319" s="278"/>
      <c r="I2319" s="283"/>
      <c r="J2319" s="244"/>
      <c r="K2319" s="248"/>
      <c r="L2319" s="278"/>
      <c r="M2319" s="283"/>
      <c r="N2319" s="244"/>
      <c r="O2319" s="248"/>
      <c r="P2319" s="278"/>
      <c r="Q2319" s="283"/>
      <c r="R2319" s="244"/>
      <c r="S2319" s="248"/>
      <c r="T2319" s="278"/>
      <c r="U2319" s="283"/>
      <c r="V2319" s="244"/>
      <c r="W2319" s="248"/>
      <c r="X2319" s="278"/>
      <c r="Y2319" s="278"/>
      <c r="Z2319" s="278"/>
      <c r="AA2319" s="278"/>
      <c r="AB2319" s="278"/>
      <c r="AM2319" s="1">
        <f t="shared" si="317"/>
        <v>0</v>
      </c>
      <c r="AN2319" s="30" t="e">
        <f t="shared" si="318"/>
        <v>#DIV/0!</v>
      </c>
      <c r="AO2319" s="30">
        <f t="shared" si="319"/>
        <v>0</v>
      </c>
      <c r="AP2319" s="30" t="e">
        <f t="shared" si="320"/>
        <v>#DIV/0!</v>
      </c>
      <c r="AQ2319" s="30">
        <f t="shared" si="321"/>
        <v>0</v>
      </c>
      <c r="AR2319" s="30" t="e">
        <f t="shared" si="322"/>
        <v>#DIV/0!</v>
      </c>
      <c r="AS2319" s="30">
        <f t="shared" si="323"/>
        <v>0</v>
      </c>
      <c r="AT2319" s="30" t="e">
        <f t="shared" si="324"/>
        <v>#DIV/0!</v>
      </c>
      <c r="AU2319" s="1">
        <f t="shared" si="325"/>
        <v>0</v>
      </c>
      <c r="AV2319" s="1" t="e">
        <f t="shared" si="326"/>
        <v>#DIV/0!</v>
      </c>
      <c r="AW2319" s="1">
        <f t="shared" si="327"/>
        <v>0</v>
      </c>
    </row>
    <row r="2320" spans="2:49" ht="14.25" customHeight="1">
      <c r="C2320" s="244"/>
      <c r="D2320" s="244"/>
      <c r="E2320" s="283"/>
      <c r="F2320" s="244"/>
      <c r="G2320" s="248"/>
      <c r="H2320" s="278"/>
      <c r="I2320" s="283"/>
      <c r="J2320" s="244"/>
      <c r="K2320" s="248"/>
      <c r="L2320" s="278"/>
      <c r="M2320" s="283"/>
      <c r="N2320" s="244"/>
      <c r="O2320" s="248"/>
      <c r="P2320" s="278"/>
      <c r="Q2320" s="283"/>
      <c r="R2320" s="244"/>
      <c r="S2320" s="248"/>
      <c r="T2320" s="278"/>
      <c r="U2320" s="283"/>
      <c r="V2320" s="244"/>
      <c r="W2320" s="248"/>
      <c r="X2320" s="278"/>
      <c r="Y2320" s="278"/>
      <c r="Z2320" s="278"/>
      <c r="AA2320" s="278"/>
      <c r="AB2320" s="278"/>
      <c r="AM2320" s="1">
        <f t="shared" si="317"/>
        <v>0</v>
      </c>
      <c r="AN2320" s="30" t="e">
        <f t="shared" si="318"/>
        <v>#DIV/0!</v>
      </c>
      <c r="AO2320" s="30">
        <f t="shared" si="319"/>
        <v>0</v>
      </c>
      <c r="AP2320" s="30" t="e">
        <f t="shared" si="320"/>
        <v>#DIV/0!</v>
      </c>
      <c r="AQ2320" s="30">
        <f t="shared" si="321"/>
        <v>0</v>
      </c>
      <c r="AR2320" s="30" t="e">
        <f t="shared" si="322"/>
        <v>#DIV/0!</v>
      </c>
      <c r="AS2320" s="30">
        <f t="shared" si="323"/>
        <v>0</v>
      </c>
      <c r="AT2320" s="30" t="e">
        <f t="shared" si="324"/>
        <v>#DIV/0!</v>
      </c>
      <c r="AU2320" s="1">
        <f t="shared" si="325"/>
        <v>0</v>
      </c>
      <c r="AV2320" s="1" t="e">
        <f t="shared" si="326"/>
        <v>#DIV/0!</v>
      </c>
      <c r="AW2320" s="1">
        <f t="shared" si="327"/>
        <v>0</v>
      </c>
    </row>
    <row r="2321" spans="3:49" ht="14.25" customHeight="1">
      <c r="C2321" s="244"/>
      <c r="D2321" s="244"/>
      <c r="E2321" s="283"/>
      <c r="F2321" s="244"/>
      <c r="G2321" s="248"/>
      <c r="H2321" s="278"/>
      <c r="I2321" s="283"/>
      <c r="J2321" s="244"/>
      <c r="K2321" s="248"/>
      <c r="L2321" s="278"/>
      <c r="M2321" s="283"/>
      <c r="N2321" s="244"/>
      <c r="O2321" s="248"/>
      <c r="P2321" s="278"/>
      <c r="Q2321" s="283"/>
      <c r="R2321" s="244"/>
      <c r="S2321" s="248"/>
      <c r="T2321" s="278"/>
      <c r="U2321" s="283"/>
      <c r="V2321" s="244"/>
      <c r="W2321" s="248"/>
      <c r="X2321" s="278"/>
      <c r="Y2321" s="278"/>
      <c r="Z2321" s="278"/>
      <c r="AA2321" s="278"/>
      <c r="AB2321" s="278"/>
      <c r="AM2321" s="1">
        <f t="shared" si="317"/>
        <v>0</v>
      </c>
      <c r="AN2321" s="30" t="e">
        <f t="shared" si="318"/>
        <v>#DIV/0!</v>
      </c>
      <c r="AO2321" s="30">
        <f t="shared" si="319"/>
        <v>0</v>
      </c>
      <c r="AP2321" s="30" t="e">
        <f t="shared" si="320"/>
        <v>#DIV/0!</v>
      </c>
      <c r="AQ2321" s="30">
        <f t="shared" si="321"/>
        <v>0</v>
      </c>
      <c r="AR2321" s="30" t="e">
        <f t="shared" si="322"/>
        <v>#DIV/0!</v>
      </c>
      <c r="AS2321" s="30">
        <f t="shared" si="323"/>
        <v>0</v>
      </c>
      <c r="AT2321" s="30" t="e">
        <f t="shared" si="324"/>
        <v>#DIV/0!</v>
      </c>
      <c r="AU2321" s="1">
        <f t="shared" si="325"/>
        <v>0</v>
      </c>
      <c r="AV2321" s="1" t="e">
        <f t="shared" si="326"/>
        <v>#DIV/0!</v>
      </c>
      <c r="AW2321" s="1">
        <f t="shared" si="327"/>
        <v>0</v>
      </c>
    </row>
    <row r="2322" spans="3:49" ht="14.25" customHeight="1">
      <c r="C2322" s="244"/>
      <c r="D2322" s="244"/>
      <c r="E2322" s="283"/>
      <c r="F2322" s="244"/>
      <c r="G2322" s="248"/>
      <c r="H2322" s="278"/>
      <c r="I2322" s="283"/>
      <c r="J2322" s="244"/>
      <c r="K2322" s="248"/>
      <c r="L2322" s="278"/>
      <c r="M2322" s="283"/>
      <c r="N2322" s="244"/>
      <c r="O2322" s="248"/>
      <c r="P2322" s="278"/>
      <c r="Q2322" s="283"/>
      <c r="R2322" s="244"/>
      <c r="S2322" s="248"/>
      <c r="T2322" s="278"/>
      <c r="U2322" s="283"/>
      <c r="V2322" s="244"/>
      <c r="W2322" s="248"/>
      <c r="X2322" s="278"/>
      <c r="Y2322" s="278"/>
      <c r="Z2322" s="278"/>
      <c r="AA2322" s="278"/>
      <c r="AB2322" s="278"/>
      <c r="AM2322" s="1">
        <f t="shared" si="317"/>
        <v>0</v>
      </c>
      <c r="AN2322" s="30" t="e">
        <f t="shared" si="318"/>
        <v>#DIV/0!</v>
      </c>
      <c r="AO2322" s="30">
        <f t="shared" si="319"/>
        <v>0</v>
      </c>
      <c r="AP2322" s="30" t="e">
        <f t="shared" si="320"/>
        <v>#DIV/0!</v>
      </c>
      <c r="AQ2322" s="30">
        <f t="shared" si="321"/>
        <v>0</v>
      </c>
      <c r="AR2322" s="30" t="e">
        <f t="shared" si="322"/>
        <v>#DIV/0!</v>
      </c>
      <c r="AS2322" s="30">
        <f t="shared" si="323"/>
        <v>0</v>
      </c>
      <c r="AT2322" s="30" t="e">
        <f t="shared" si="324"/>
        <v>#DIV/0!</v>
      </c>
      <c r="AU2322" s="1">
        <f t="shared" si="325"/>
        <v>0</v>
      </c>
      <c r="AV2322" s="1" t="e">
        <f t="shared" si="326"/>
        <v>#DIV/0!</v>
      </c>
      <c r="AW2322" s="1">
        <f t="shared" si="327"/>
        <v>0</v>
      </c>
    </row>
    <row r="2323" spans="3:49" ht="14.25" customHeight="1">
      <c r="C2323" s="244"/>
      <c r="D2323" s="244"/>
      <c r="E2323" s="283"/>
      <c r="F2323" s="244"/>
      <c r="G2323" s="248"/>
      <c r="H2323" s="278"/>
      <c r="I2323" s="283"/>
      <c r="J2323" s="244"/>
      <c r="K2323" s="248"/>
      <c r="L2323" s="278"/>
      <c r="M2323" s="283"/>
      <c r="N2323" s="244"/>
      <c r="O2323" s="248"/>
      <c r="P2323" s="278"/>
      <c r="Q2323" s="283"/>
      <c r="R2323" s="244"/>
      <c r="S2323" s="248"/>
      <c r="T2323" s="278"/>
      <c r="U2323" s="283"/>
      <c r="V2323" s="244"/>
      <c r="W2323" s="248"/>
      <c r="X2323" s="278"/>
      <c r="Y2323" s="278"/>
      <c r="Z2323" s="278"/>
      <c r="AA2323" s="278"/>
      <c r="AB2323" s="278"/>
      <c r="AM2323" s="1">
        <f t="shared" si="317"/>
        <v>0</v>
      </c>
      <c r="AN2323" s="30" t="e">
        <f t="shared" si="318"/>
        <v>#DIV/0!</v>
      </c>
      <c r="AO2323" s="30">
        <f t="shared" si="319"/>
        <v>0</v>
      </c>
      <c r="AP2323" s="30" t="e">
        <f t="shared" si="320"/>
        <v>#DIV/0!</v>
      </c>
      <c r="AQ2323" s="30">
        <f t="shared" si="321"/>
        <v>0</v>
      </c>
      <c r="AR2323" s="30" t="e">
        <f t="shared" si="322"/>
        <v>#DIV/0!</v>
      </c>
      <c r="AS2323" s="30">
        <f t="shared" si="323"/>
        <v>0</v>
      </c>
      <c r="AT2323" s="30" t="e">
        <f t="shared" si="324"/>
        <v>#DIV/0!</v>
      </c>
      <c r="AU2323" s="1">
        <f t="shared" si="325"/>
        <v>0</v>
      </c>
      <c r="AV2323" s="1" t="e">
        <f t="shared" si="326"/>
        <v>#DIV/0!</v>
      </c>
      <c r="AW2323" s="1">
        <f t="shared" si="327"/>
        <v>0</v>
      </c>
    </row>
    <row r="2324" spans="3:49" ht="14.25" customHeight="1">
      <c r="C2324" s="244"/>
      <c r="D2324" s="244"/>
      <c r="E2324" s="283"/>
      <c r="F2324" s="244"/>
      <c r="G2324" s="248"/>
      <c r="H2324" s="278"/>
      <c r="I2324" s="283"/>
      <c r="J2324" s="244"/>
      <c r="K2324" s="248"/>
      <c r="L2324" s="278"/>
      <c r="M2324" s="283"/>
      <c r="N2324" s="244"/>
      <c r="O2324" s="248"/>
      <c r="P2324" s="278"/>
      <c r="Q2324" s="283"/>
      <c r="R2324" s="244"/>
      <c r="S2324" s="248"/>
      <c r="T2324" s="278"/>
      <c r="U2324" s="283"/>
      <c r="V2324" s="244"/>
      <c r="W2324" s="248"/>
      <c r="X2324" s="278"/>
      <c r="Y2324" s="278"/>
      <c r="Z2324" s="278"/>
      <c r="AA2324" s="278"/>
      <c r="AB2324" s="278"/>
      <c r="AM2324" s="1">
        <f t="shared" si="317"/>
        <v>0</v>
      </c>
      <c r="AN2324" s="30" t="e">
        <f t="shared" si="318"/>
        <v>#DIV/0!</v>
      </c>
      <c r="AO2324" s="30">
        <f t="shared" si="319"/>
        <v>0</v>
      </c>
      <c r="AP2324" s="30" t="e">
        <f t="shared" si="320"/>
        <v>#DIV/0!</v>
      </c>
      <c r="AQ2324" s="30">
        <f t="shared" si="321"/>
        <v>0</v>
      </c>
      <c r="AR2324" s="30" t="e">
        <f t="shared" si="322"/>
        <v>#DIV/0!</v>
      </c>
      <c r="AS2324" s="30">
        <f t="shared" si="323"/>
        <v>0</v>
      </c>
      <c r="AT2324" s="30" t="e">
        <f t="shared" si="324"/>
        <v>#DIV/0!</v>
      </c>
      <c r="AU2324" s="1">
        <f t="shared" si="325"/>
        <v>0</v>
      </c>
      <c r="AV2324" s="1" t="e">
        <f t="shared" si="326"/>
        <v>#DIV/0!</v>
      </c>
      <c r="AW2324" s="1">
        <f t="shared" si="327"/>
        <v>0</v>
      </c>
    </row>
    <row r="2325" spans="3:49" ht="14.25" customHeight="1">
      <c r="C2325" s="244"/>
      <c r="D2325" s="244"/>
      <c r="E2325" s="283"/>
      <c r="F2325" s="244"/>
      <c r="G2325" s="248"/>
      <c r="H2325" s="278"/>
      <c r="I2325" s="283"/>
      <c r="J2325" s="244"/>
      <c r="K2325" s="248"/>
      <c r="L2325" s="278"/>
      <c r="M2325" s="283"/>
      <c r="N2325" s="244"/>
      <c r="O2325" s="248"/>
      <c r="P2325" s="278"/>
      <c r="Q2325" s="283"/>
      <c r="R2325" s="244"/>
      <c r="S2325" s="248"/>
      <c r="T2325" s="278"/>
      <c r="U2325" s="283"/>
      <c r="V2325" s="244"/>
      <c r="W2325" s="248"/>
      <c r="X2325" s="278"/>
      <c r="Y2325" s="278"/>
      <c r="Z2325" s="278"/>
      <c r="AA2325" s="278"/>
      <c r="AB2325" s="278"/>
      <c r="AM2325" s="1">
        <f t="shared" si="317"/>
        <v>0</v>
      </c>
      <c r="AN2325" s="30" t="e">
        <f t="shared" si="318"/>
        <v>#DIV/0!</v>
      </c>
      <c r="AO2325" s="30">
        <f t="shared" si="319"/>
        <v>0</v>
      </c>
      <c r="AP2325" s="30" t="e">
        <f t="shared" si="320"/>
        <v>#DIV/0!</v>
      </c>
      <c r="AQ2325" s="30">
        <f t="shared" si="321"/>
        <v>0</v>
      </c>
      <c r="AR2325" s="30" t="e">
        <f t="shared" si="322"/>
        <v>#DIV/0!</v>
      </c>
      <c r="AS2325" s="30">
        <f t="shared" si="323"/>
        <v>0</v>
      </c>
      <c r="AT2325" s="30" t="e">
        <f t="shared" si="324"/>
        <v>#DIV/0!</v>
      </c>
      <c r="AU2325" s="1">
        <f t="shared" si="325"/>
        <v>0</v>
      </c>
      <c r="AV2325" s="1" t="e">
        <f t="shared" si="326"/>
        <v>#DIV/0!</v>
      </c>
      <c r="AW2325" s="1">
        <f t="shared" si="327"/>
        <v>0</v>
      </c>
    </row>
    <row r="2326" spans="3:49" ht="14.25" customHeight="1">
      <c r="C2326" s="244"/>
      <c r="D2326" s="244"/>
      <c r="E2326" s="283"/>
      <c r="F2326" s="244"/>
      <c r="G2326" s="248"/>
      <c r="H2326" s="278"/>
      <c r="I2326" s="283"/>
      <c r="J2326" s="244"/>
      <c r="K2326" s="248"/>
      <c r="L2326" s="278"/>
      <c r="M2326" s="283"/>
      <c r="N2326" s="244"/>
      <c r="O2326" s="248"/>
      <c r="P2326" s="278"/>
      <c r="Q2326" s="283"/>
      <c r="R2326" s="244"/>
      <c r="S2326" s="248"/>
      <c r="T2326" s="278"/>
      <c r="U2326" s="283"/>
      <c r="V2326" s="244"/>
      <c r="W2326" s="248"/>
      <c r="X2326" s="278"/>
      <c r="Y2326" s="278"/>
      <c r="Z2326" s="278"/>
      <c r="AA2326" s="278"/>
      <c r="AB2326" s="278"/>
    </row>
    <row r="2327" spans="3:49" ht="14.25" customHeight="1">
      <c r="C2327" s="244"/>
      <c r="D2327" s="244"/>
      <c r="E2327" s="283"/>
      <c r="F2327" s="244"/>
      <c r="G2327" s="248"/>
      <c r="H2327" s="278"/>
      <c r="I2327" s="283"/>
      <c r="J2327" s="244"/>
      <c r="K2327" s="248"/>
      <c r="L2327" s="278"/>
      <c r="M2327" s="283"/>
      <c r="N2327" s="244"/>
      <c r="O2327" s="248"/>
      <c r="P2327" s="278"/>
      <c r="Q2327" s="283"/>
      <c r="R2327" s="244"/>
      <c r="S2327" s="248"/>
      <c r="T2327" s="278"/>
      <c r="U2327" s="283"/>
      <c r="V2327" s="244"/>
      <c r="W2327" s="248"/>
      <c r="X2327" s="278"/>
      <c r="Y2327" s="278"/>
      <c r="Z2327" s="278"/>
      <c r="AA2327" s="278"/>
      <c r="AB2327" s="278"/>
    </row>
    <row r="2328" spans="3:49" ht="14.25" customHeight="1">
      <c r="C2328" s="244"/>
      <c r="D2328" s="244"/>
      <c r="E2328" s="283"/>
      <c r="F2328" s="244"/>
      <c r="G2328" s="248"/>
      <c r="H2328" s="278"/>
      <c r="I2328" s="283"/>
      <c r="J2328" s="244"/>
      <c r="K2328" s="248"/>
      <c r="L2328" s="278"/>
      <c r="M2328" s="283"/>
      <c r="N2328" s="244"/>
      <c r="O2328" s="248"/>
      <c r="P2328" s="278"/>
      <c r="Q2328" s="283"/>
      <c r="R2328" s="244"/>
      <c r="S2328" s="248"/>
      <c r="T2328" s="278"/>
      <c r="U2328" s="283"/>
      <c r="V2328" s="244"/>
      <c r="W2328" s="248"/>
      <c r="X2328" s="278"/>
      <c r="Y2328" s="278"/>
      <c r="Z2328" s="278"/>
      <c r="AA2328" s="278"/>
      <c r="AB2328" s="278"/>
    </row>
    <row r="2329" spans="3:49" ht="14.25" customHeight="1">
      <c r="C2329" s="244"/>
      <c r="D2329" s="244"/>
      <c r="E2329" s="283"/>
      <c r="F2329" s="244"/>
      <c r="G2329" s="248"/>
      <c r="H2329" s="278"/>
      <c r="I2329" s="283"/>
      <c r="J2329" s="244"/>
      <c r="K2329" s="248"/>
      <c r="L2329" s="278"/>
      <c r="M2329" s="283"/>
      <c r="N2329" s="244"/>
      <c r="O2329" s="248"/>
      <c r="P2329" s="278"/>
      <c r="Q2329" s="283"/>
      <c r="R2329" s="244"/>
      <c r="S2329" s="248"/>
      <c r="T2329" s="278"/>
      <c r="U2329" s="283"/>
      <c r="V2329" s="244"/>
      <c r="W2329" s="248"/>
      <c r="X2329" s="278"/>
      <c r="Y2329" s="278"/>
      <c r="Z2329" s="278"/>
      <c r="AA2329" s="278"/>
      <c r="AB2329" s="278"/>
    </row>
    <row r="2330" spans="3:49" ht="14.25" customHeight="1">
      <c r="C2330" s="244"/>
      <c r="D2330" s="244"/>
      <c r="E2330" s="283"/>
      <c r="F2330" s="244"/>
      <c r="G2330" s="248"/>
      <c r="H2330" s="278"/>
      <c r="I2330" s="283"/>
      <c r="J2330" s="244"/>
      <c r="K2330" s="248"/>
      <c r="L2330" s="278"/>
      <c r="M2330" s="283"/>
      <c r="N2330" s="244"/>
      <c r="O2330" s="248"/>
      <c r="P2330" s="278"/>
      <c r="Q2330" s="283"/>
      <c r="R2330" s="244"/>
      <c r="S2330" s="248"/>
      <c r="T2330" s="278"/>
      <c r="U2330" s="283"/>
      <c r="V2330" s="244"/>
      <c r="W2330" s="248"/>
      <c r="X2330" s="278"/>
      <c r="Y2330" s="278"/>
      <c r="Z2330" s="278"/>
      <c r="AA2330" s="278"/>
      <c r="AB2330" s="278"/>
    </row>
    <row r="2331" spans="3:49" ht="14.25" customHeight="1">
      <c r="C2331" s="244"/>
      <c r="D2331" s="244"/>
      <c r="E2331" s="283"/>
      <c r="F2331" s="244"/>
      <c r="G2331" s="248"/>
      <c r="H2331" s="278"/>
      <c r="I2331" s="283"/>
      <c r="J2331" s="244"/>
      <c r="K2331" s="248"/>
      <c r="L2331" s="278"/>
      <c r="M2331" s="283"/>
      <c r="N2331" s="244"/>
      <c r="O2331" s="248"/>
      <c r="P2331" s="278"/>
      <c r="Q2331" s="283"/>
      <c r="R2331" s="244"/>
      <c r="S2331" s="248"/>
      <c r="T2331" s="278"/>
      <c r="U2331" s="283"/>
      <c r="V2331" s="244"/>
      <c r="W2331" s="248"/>
      <c r="X2331" s="278"/>
      <c r="Y2331" s="278"/>
      <c r="Z2331" s="278"/>
      <c r="AA2331" s="278"/>
      <c r="AB2331" s="278"/>
    </row>
    <row r="2332" spans="3:49" ht="14.25" customHeight="1">
      <c r="C2332" s="244"/>
      <c r="D2332" s="244"/>
      <c r="E2332" s="283"/>
      <c r="F2332" s="244"/>
      <c r="G2332" s="248"/>
      <c r="H2332" s="278"/>
      <c r="I2332" s="283"/>
      <c r="J2332" s="244"/>
      <c r="K2332" s="248"/>
      <c r="L2332" s="278"/>
      <c r="M2332" s="283"/>
      <c r="N2332" s="244"/>
      <c r="O2332" s="248"/>
      <c r="P2332" s="278"/>
      <c r="Q2332" s="283"/>
      <c r="R2332" s="244"/>
      <c r="S2332" s="248"/>
      <c r="T2332" s="278"/>
      <c r="U2332" s="283"/>
      <c r="V2332" s="244"/>
      <c r="W2332" s="248"/>
      <c r="X2332" s="278"/>
      <c r="Y2332" s="278"/>
      <c r="Z2332" s="278"/>
      <c r="AA2332" s="278"/>
      <c r="AB2332" s="278"/>
    </row>
    <row r="2333" spans="3:49" ht="14.25" customHeight="1">
      <c r="C2333" s="244"/>
      <c r="D2333" s="244"/>
      <c r="E2333" s="283"/>
      <c r="F2333" s="244"/>
      <c r="G2333" s="248"/>
      <c r="H2333" s="278"/>
      <c r="I2333" s="283"/>
      <c r="J2333" s="244"/>
      <c r="K2333" s="248"/>
      <c r="L2333" s="278"/>
      <c r="M2333" s="283"/>
      <c r="N2333" s="244"/>
      <c r="O2333" s="248"/>
      <c r="P2333" s="278"/>
      <c r="Q2333" s="283"/>
      <c r="R2333" s="244"/>
      <c r="S2333" s="248"/>
      <c r="T2333" s="278"/>
      <c r="U2333" s="283"/>
      <c r="V2333" s="244"/>
      <c r="W2333" s="248"/>
      <c r="X2333" s="278"/>
      <c r="Y2333" s="278"/>
      <c r="Z2333" s="278"/>
      <c r="AA2333" s="278"/>
      <c r="AB2333" s="278"/>
    </row>
    <row r="2334" spans="3:49" ht="14.25" customHeight="1">
      <c r="C2334" s="244"/>
      <c r="D2334" s="244"/>
      <c r="E2334" s="283"/>
      <c r="F2334" s="244"/>
      <c r="G2334" s="248"/>
      <c r="H2334" s="278"/>
      <c r="I2334" s="283"/>
      <c r="J2334" s="244"/>
      <c r="K2334" s="248"/>
      <c r="L2334" s="278"/>
      <c r="M2334" s="283"/>
      <c r="N2334" s="244"/>
      <c r="O2334" s="248"/>
      <c r="P2334" s="278"/>
      <c r="Q2334" s="283"/>
      <c r="R2334" s="244"/>
      <c r="S2334" s="248"/>
      <c r="T2334" s="278"/>
      <c r="U2334" s="283"/>
      <c r="V2334" s="244"/>
      <c r="W2334" s="248"/>
      <c r="X2334" s="278"/>
      <c r="Y2334" s="278"/>
      <c r="Z2334" s="278"/>
      <c r="AA2334" s="278"/>
      <c r="AB2334" s="278"/>
    </row>
    <row r="2335" spans="3:49" ht="14.25" customHeight="1">
      <c r="C2335" s="244"/>
      <c r="D2335" s="244"/>
      <c r="E2335" s="283"/>
      <c r="F2335" s="244"/>
      <c r="G2335" s="248"/>
      <c r="H2335" s="278"/>
      <c r="I2335" s="283"/>
      <c r="J2335" s="244"/>
      <c r="K2335" s="248"/>
      <c r="L2335" s="278"/>
      <c r="M2335" s="283"/>
      <c r="N2335" s="244"/>
      <c r="O2335" s="248"/>
      <c r="P2335" s="278"/>
      <c r="Q2335" s="283"/>
      <c r="R2335" s="244"/>
      <c r="S2335" s="248"/>
      <c r="T2335" s="278"/>
      <c r="U2335" s="283"/>
      <c r="V2335" s="244"/>
      <c r="W2335" s="248"/>
      <c r="X2335" s="278"/>
      <c r="Y2335" s="278"/>
      <c r="Z2335" s="278"/>
      <c r="AA2335" s="278"/>
      <c r="AB2335" s="278"/>
    </row>
    <row r="2336" spans="3:49" ht="14.25" customHeight="1">
      <c r="C2336" s="244"/>
      <c r="D2336" s="244"/>
      <c r="E2336" s="283"/>
      <c r="F2336" s="244"/>
      <c r="G2336" s="248"/>
      <c r="H2336" s="278"/>
      <c r="I2336" s="283"/>
      <c r="J2336" s="244"/>
      <c r="K2336" s="248"/>
      <c r="L2336" s="278"/>
      <c r="M2336" s="283"/>
      <c r="N2336" s="244"/>
      <c r="O2336" s="248"/>
      <c r="P2336" s="278"/>
      <c r="Q2336" s="283"/>
      <c r="R2336" s="244"/>
      <c r="S2336" s="248"/>
      <c r="T2336" s="278"/>
      <c r="U2336" s="283"/>
      <c r="V2336" s="244"/>
      <c r="W2336" s="248"/>
      <c r="X2336" s="278"/>
      <c r="Y2336" s="278"/>
      <c r="Z2336" s="278"/>
      <c r="AA2336" s="278"/>
      <c r="AB2336" s="278"/>
    </row>
    <row r="2337" spans="3:28" ht="14.25" customHeight="1">
      <c r="C2337" s="244"/>
      <c r="D2337" s="244"/>
      <c r="E2337" s="283"/>
      <c r="F2337" s="244"/>
      <c r="G2337" s="248"/>
      <c r="H2337" s="278"/>
      <c r="I2337" s="283"/>
      <c r="J2337" s="244"/>
      <c r="K2337" s="248"/>
      <c r="L2337" s="278"/>
      <c r="M2337" s="283"/>
      <c r="N2337" s="244"/>
      <c r="O2337" s="248"/>
      <c r="P2337" s="278"/>
      <c r="Q2337" s="283"/>
      <c r="R2337" s="244"/>
      <c r="S2337" s="248"/>
      <c r="T2337" s="278"/>
      <c r="U2337" s="283"/>
      <c r="V2337" s="244"/>
      <c r="W2337" s="248"/>
      <c r="X2337" s="278"/>
      <c r="Y2337" s="278"/>
      <c r="Z2337" s="278"/>
      <c r="AA2337" s="278"/>
      <c r="AB2337" s="278"/>
    </row>
    <row r="2338" spans="3:28" ht="14.25" customHeight="1">
      <c r="C2338" s="244"/>
      <c r="D2338" s="244"/>
      <c r="E2338" s="283"/>
      <c r="F2338" s="244"/>
      <c r="G2338" s="248"/>
      <c r="H2338" s="278"/>
      <c r="I2338" s="283"/>
      <c r="J2338" s="244"/>
      <c r="K2338" s="248"/>
      <c r="L2338" s="278"/>
      <c r="M2338" s="283"/>
      <c r="N2338" s="244"/>
      <c r="O2338" s="248"/>
      <c r="P2338" s="278"/>
      <c r="Q2338" s="283"/>
      <c r="R2338" s="244"/>
      <c r="S2338" s="248"/>
      <c r="T2338" s="278"/>
      <c r="U2338" s="283"/>
      <c r="V2338" s="244"/>
      <c r="W2338" s="248"/>
      <c r="X2338" s="278"/>
      <c r="Y2338" s="278"/>
      <c r="Z2338" s="278"/>
      <c r="AA2338" s="278"/>
      <c r="AB2338" s="278"/>
    </row>
    <row r="2339" spans="3:28" ht="14.25" customHeight="1">
      <c r="C2339" s="244"/>
      <c r="D2339" s="244"/>
      <c r="E2339" s="283"/>
      <c r="F2339" s="244"/>
      <c r="G2339" s="248"/>
      <c r="H2339" s="278"/>
      <c r="I2339" s="283"/>
      <c r="J2339" s="244"/>
      <c r="K2339" s="248"/>
      <c r="L2339" s="278"/>
      <c r="M2339" s="283"/>
      <c r="N2339" s="244"/>
      <c r="O2339" s="248"/>
      <c r="P2339" s="278"/>
      <c r="Q2339" s="283"/>
      <c r="R2339" s="244"/>
      <c r="S2339" s="248"/>
      <c r="T2339" s="278"/>
      <c r="U2339" s="283"/>
      <c r="V2339" s="244"/>
      <c r="W2339" s="248"/>
      <c r="X2339" s="278"/>
      <c r="Y2339" s="278"/>
      <c r="Z2339" s="278"/>
      <c r="AA2339" s="278"/>
      <c r="AB2339" s="278"/>
    </row>
    <row r="2340" spans="3:28" ht="14.25" customHeight="1">
      <c r="C2340" s="244"/>
      <c r="D2340" s="244"/>
      <c r="E2340" s="283"/>
      <c r="F2340" s="244"/>
      <c r="G2340" s="248"/>
      <c r="H2340" s="278"/>
      <c r="I2340" s="283"/>
      <c r="J2340" s="244"/>
      <c r="K2340" s="248"/>
      <c r="L2340" s="278"/>
      <c r="M2340" s="283"/>
      <c r="N2340" s="244"/>
      <c r="O2340" s="248"/>
      <c r="P2340" s="278"/>
      <c r="Q2340" s="283"/>
      <c r="R2340" s="244"/>
      <c r="S2340" s="248"/>
      <c r="T2340" s="278"/>
      <c r="U2340" s="283"/>
      <c r="V2340" s="244"/>
      <c r="W2340" s="248"/>
      <c r="X2340" s="278"/>
      <c r="Y2340" s="278"/>
      <c r="Z2340" s="278"/>
      <c r="AA2340" s="278"/>
      <c r="AB2340" s="278"/>
    </row>
    <row r="2341" spans="3:28" ht="14.25" customHeight="1">
      <c r="C2341" s="244"/>
      <c r="D2341" s="244"/>
      <c r="E2341" s="283"/>
      <c r="F2341" s="244"/>
      <c r="G2341" s="248"/>
      <c r="H2341" s="278"/>
      <c r="I2341" s="283"/>
      <c r="J2341" s="244"/>
      <c r="K2341" s="248"/>
      <c r="L2341" s="278"/>
      <c r="M2341" s="283"/>
      <c r="N2341" s="244"/>
      <c r="O2341" s="248"/>
      <c r="P2341" s="278"/>
      <c r="Q2341" s="283"/>
      <c r="R2341" s="244"/>
      <c r="S2341" s="248"/>
      <c r="T2341" s="278"/>
      <c r="U2341" s="283"/>
      <c r="V2341" s="244"/>
      <c r="W2341" s="248"/>
      <c r="X2341" s="278"/>
      <c r="Y2341" s="278"/>
      <c r="Z2341" s="278"/>
      <c r="AA2341" s="278"/>
      <c r="AB2341" s="278"/>
    </row>
    <row r="2342" spans="3:28" ht="14.25" customHeight="1">
      <c r="C2342" s="244"/>
      <c r="D2342" s="244"/>
      <c r="E2342" s="283"/>
      <c r="F2342" s="244"/>
      <c r="G2342" s="248"/>
      <c r="H2342" s="278"/>
      <c r="I2342" s="283"/>
      <c r="J2342" s="244"/>
      <c r="K2342" s="248"/>
      <c r="L2342" s="278"/>
      <c r="M2342" s="283"/>
      <c r="N2342" s="244"/>
      <c r="O2342" s="248"/>
      <c r="P2342" s="278"/>
      <c r="Q2342" s="283"/>
      <c r="R2342" s="244"/>
      <c r="S2342" s="248"/>
      <c r="T2342" s="278"/>
      <c r="U2342" s="283"/>
      <c r="V2342" s="244"/>
      <c r="W2342" s="248"/>
      <c r="X2342" s="278"/>
      <c r="Y2342" s="278"/>
      <c r="Z2342" s="278"/>
      <c r="AA2342" s="278"/>
      <c r="AB2342" s="278"/>
    </row>
    <row r="2343" spans="3:28" ht="14.25" customHeight="1">
      <c r="C2343" s="244"/>
      <c r="D2343" s="244"/>
      <c r="E2343" s="283"/>
      <c r="F2343" s="244"/>
      <c r="G2343" s="248"/>
      <c r="H2343" s="278"/>
      <c r="I2343" s="283"/>
      <c r="J2343" s="244"/>
      <c r="K2343" s="248"/>
      <c r="L2343" s="278"/>
      <c r="M2343" s="283"/>
      <c r="N2343" s="244"/>
      <c r="O2343" s="248"/>
      <c r="P2343" s="278"/>
      <c r="Q2343" s="283"/>
      <c r="R2343" s="244"/>
      <c r="S2343" s="248"/>
      <c r="T2343" s="278"/>
      <c r="U2343" s="283"/>
      <c r="V2343" s="244"/>
      <c r="W2343" s="248"/>
      <c r="X2343" s="278"/>
      <c r="Y2343" s="278"/>
      <c r="Z2343" s="278"/>
      <c r="AA2343" s="278"/>
      <c r="AB2343" s="278"/>
    </row>
    <row r="2344" spans="3:28" ht="14.25" customHeight="1">
      <c r="C2344" s="244"/>
      <c r="D2344" s="244"/>
      <c r="E2344" s="283"/>
      <c r="F2344" s="244"/>
      <c r="G2344" s="248"/>
      <c r="H2344" s="278"/>
      <c r="I2344" s="283"/>
      <c r="J2344" s="244"/>
      <c r="K2344" s="248"/>
      <c r="L2344" s="278"/>
      <c r="M2344" s="283"/>
      <c r="N2344" s="244"/>
      <c r="O2344" s="248"/>
      <c r="P2344" s="278"/>
      <c r="Q2344" s="283"/>
      <c r="R2344" s="244"/>
      <c r="S2344" s="248"/>
      <c r="T2344" s="278"/>
      <c r="U2344" s="283"/>
      <c r="V2344" s="244"/>
      <c r="W2344" s="248"/>
      <c r="X2344" s="278"/>
      <c r="Y2344" s="278"/>
      <c r="Z2344" s="278"/>
      <c r="AA2344" s="278"/>
      <c r="AB2344" s="278"/>
    </row>
    <row r="2345" spans="3:28" ht="14.25" customHeight="1">
      <c r="C2345" s="244"/>
      <c r="D2345" s="244"/>
      <c r="E2345" s="283"/>
      <c r="F2345" s="244"/>
      <c r="G2345" s="248"/>
      <c r="H2345" s="278"/>
      <c r="I2345" s="283"/>
      <c r="J2345" s="244"/>
      <c r="K2345" s="248"/>
      <c r="L2345" s="278"/>
      <c r="M2345" s="283"/>
      <c r="N2345" s="244"/>
      <c r="O2345" s="248"/>
      <c r="P2345" s="278"/>
      <c r="Q2345" s="283"/>
      <c r="R2345" s="244"/>
      <c r="S2345" s="248"/>
      <c r="T2345" s="278"/>
      <c r="U2345" s="283"/>
      <c r="V2345" s="244"/>
      <c r="W2345" s="248"/>
      <c r="X2345" s="278"/>
      <c r="Y2345" s="278"/>
      <c r="Z2345" s="278"/>
      <c r="AA2345" s="278"/>
      <c r="AB2345" s="278"/>
    </row>
    <row r="2346" spans="3:28" ht="14.25" customHeight="1">
      <c r="C2346" s="244"/>
      <c r="D2346" s="244"/>
      <c r="E2346" s="283"/>
      <c r="F2346" s="244"/>
      <c r="G2346" s="248"/>
      <c r="H2346" s="278"/>
      <c r="I2346" s="283"/>
      <c r="J2346" s="244"/>
      <c r="K2346" s="248"/>
      <c r="L2346" s="278"/>
      <c r="M2346" s="283"/>
      <c r="N2346" s="244"/>
      <c r="O2346" s="248"/>
      <c r="P2346" s="278"/>
      <c r="Q2346" s="283"/>
      <c r="R2346" s="244"/>
      <c r="S2346" s="248"/>
      <c r="T2346" s="278"/>
      <c r="U2346" s="283"/>
      <c r="V2346" s="244"/>
      <c r="W2346" s="248"/>
      <c r="X2346" s="278"/>
      <c r="Y2346" s="278"/>
      <c r="Z2346" s="278"/>
      <c r="AA2346" s="278"/>
      <c r="AB2346" s="278"/>
    </row>
    <row r="2347" spans="3:28" ht="14.25" customHeight="1">
      <c r="C2347" s="244"/>
      <c r="D2347" s="244"/>
      <c r="E2347" s="283"/>
      <c r="F2347" s="244"/>
      <c r="G2347" s="248"/>
      <c r="H2347" s="278"/>
      <c r="I2347" s="283"/>
      <c r="J2347" s="244"/>
      <c r="K2347" s="248"/>
      <c r="L2347" s="278"/>
      <c r="M2347" s="283"/>
      <c r="N2347" s="244"/>
      <c r="O2347" s="248"/>
      <c r="P2347" s="278"/>
      <c r="Q2347" s="283"/>
      <c r="R2347" s="244"/>
      <c r="S2347" s="248"/>
      <c r="T2347" s="278"/>
      <c r="U2347" s="283"/>
      <c r="V2347" s="244"/>
      <c r="W2347" s="248"/>
      <c r="X2347" s="278"/>
      <c r="Y2347" s="278"/>
      <c r="Z2347" s="278"/>
      <c r="AA2347" s="278"/>
      <c r="AB2347" s="278"/>
    </row>
    <row r="2348" spans="3:28" ht="14.25" customHeight="1">
      <c r="C2348" s="244"/>
      <c r="D2348" s="244"/>
      <c r="E2348" s="283"/>
      <c r="F2348" s="244"/>
      <c r="G2348" s="248"/>
      <c r="H2348" s="278"/>
      <c r="I2348" s="283"/>
      <c r="J2348" s="244"/>
      <c r="K2348" s="248"/>
      <c r="L2348" s="278"/>
      <c r="M2348" s="283"/>
      <c r="N2348" s="244"/>
      <c r="O2348" s="248"/>
      <c r="P2348" s="278"/>
      <c r="Q2348" s="283"/>
      <c r="R2348" s="244"/>
      <c r="S2348" s="248"/>
      <c r="T2348" s="278"/>
      <c r="U2348" s="283"/>
      <c r="V2348" s="244"/>
      <c r="W2348" s="248"/>
      <c r="X2348" s="278"/>
      <c r="Y2348" s="278"/>
      <c r="Z2348" s="278"/>
      <c r="AA2348" s="278"/>
      <c r="AB2348" s="278"/>
    </row>
    <row r="2349" spans="3:28" ht="14.25" customHeight="1">
      <c r="C2349" s="244"/>
      <c r="D2349" s="244"/>
      <c r="E2349" s="283"/>
      <c r="F2349" s="244"/>
      <c r="G2349" s="248"/>
      <c r="H2349" s="278"/>
      <c r="I2349" s="283"/>
      <c r="J2349" s="244"/>
      <c r="K2349" s="248"/>
      <c r="L2349" s="278"/>
      <c r="M2349" s="283"/>
      <c r="N2349" s="244"/>
      <c r="O2349" s="248"/>
      <c r="P2349" s="278"/>
      <c r="Q2349" s="283"/>
      <c r="R2349" s="244"/>
      <c r="S2349" s="248"/>
      <c r="T2349" s="278"/>
      <c r="U2349" s="283"/>
      <c r="V2349" s="244"/>
      <c r="W2349" s="248"/>
      <c r="X2349" s="278"/>
      <c r="Y2349" s="278"/>
      <c r="Z2349" s="278"/>
      <c r="AA2349" s="278"/>
      <c r="AB2349" s="278"/>
    </row>
    <row r="2350" spans="3:28" ht="14.25" customHeight="1">
      <c r="C2350" s="244"/>
      <c r="D2350" s="244"/>
      <c r="E2350" s="283"/>
      <c r="F2350" s="244"/>
      <c r="G2350" s="248"/>
      <c r="H2350" s="278"/>
      <c r="I2350" s="283"/>
      <c r="J2350" s="244"/>
      <c r="K2350" s="248"/>
      <c r="L2350" s="278"/>
      <c r="M2350" s="283"/>
      <c r="N2350" s="244"/>
      <c r="O2350" s="248"/>
      <c r="P2350" s="278"/>
      <c r="Q2350" s="283"/>
      <c r="R2350" s="244"/>
      <c r="S2350" s="248"/>
      <c r="T2350" s="278"/>
      <c r="U2350" s="283"/>
      <c r="V2350" s="244"/>
      <c r="W2350" s="248"/>
      <c r="X2350" s="278"/>
      <c r="Y2350" s="278"/>
      <c r="Z2350" s="278"/>
      <c r="AA2350" s="278"/>
      <c r="AB2350" s="278"/>
    </row>
    <row r="2351" spans="3:28" ht="14.25" customHeight="1">
      <c r="C2351" s="244"/>
      <c r="D2351" s="244"/>
      <c r="E2351" s="283"/>
      <c r="F2351" s="244"/>
      <c r="G2351" s="248"/>
      <c r="H2351" s="278"/>
      <c r="I2351" s="283"/>
      <c r="J2351" s="244"/>
      <c r="K2351" s="248"/>
      <c r="L2351" s="278"/>
      <c r="M2351" s="248"/>
      <c r="N2351" s="206"/>
      <c r="O2351" s="248"/>
      <c r="P2351" s="278"/>
      <c r="Q2351" s="248"/>
      <c r="R2351" s="206"/>
      <c r="S2351" s="248"/>
      <c r="T2351" s="278"/>
      <c r="U2351" s="57"/>
      <c r="V2351" s="57"/>
      <c r="W2351" s="248"/>
      <c r="X2351" s="278"/>
      <c r="Y2351" s="278"/>
      <c r="Z2351" s="278"/>
      <c r="AA2351" s="278"/>
      <c r="AB2351" s="278"/>
    </row>
    <row r="2352" spans="3:28" ht="14.25" customHeight="1">
      <c r="C2352" s="244"/>
      <c r="D2352" s="244"/>
      <c r="E2352" s="248"/>
      <c r="F2352" s="206"/>
      <c r="G2352" s="248"/>
      <c r="H2352" s="278"/>
      <c r="I2352" s="248"/>
      <c r="J2352" s="206"/>
      <c r="K2352" s="248"/>
      <c r="L2352" s="278"/>
      <c r="M2352" s="248"/>
      <c r="N2352" s="206"/>
      <c r="O2352" s="248"/>
      <c r="P2352" s="278"/>
      <c r="Q2352" s="248"/>
      <c r="R2352" s="206"/>
      <c r="S2352" s="248"/>
      <c r="T2352" s="278"/>
      <c r="U2352" s="248"/>
      <c r="V2352" s="57"/>
      <c r="W2352" s="248"/>
      <c r="X2352" s="278"/>
      <c r="Y2352" s="278"/>
      <c r="Z2352" s="278"/>
      <c r="AA2352" s="278"/>
      <c r="AB2352" s="278"/>
    </row>
    <row r="2353" spans="1:49" ht="14.25" customHeight="1">
      <c r="C2353" s="244"/>
      <c r="D2353" s="244"/>
      <c r="E2353" s="248"/>
      <c r="F2353" s="206"/>
      <c r="G2353" s="248"/>
      <c r="H2353" s="278"/>
      <c r="I2353" s="248"/>
      <c r="J2353" s="206"/>
      <c r="K2353" s="248"/>
      <c r="L2353" s="278"/>
      <c r="M2353" s="248"/>
      <c r="N2353" s="250"/>
      <c r="O2353" s="248"/>
      <c r="P2353" s="278"/>
      <c r="Q2353" s="248"/>
      <c r="R2353" s="250"/>
      <c r="S2353" s="248"/>
      <c r="T2353" s="278"/>
      <c r="U2353" s="248"/>
      <c r="V2353" s="57"/>
      <c r="W2353" s="248"/>
      <c r="X2353" s="278"/>
      <c r="Y2353" s="278"/>
      <c r="Z2353" s="278"/>
      <c r="AA2353" s="278"/>
      <c r="AB2353" s="278"/>
    </row>
    <row r="2354" spans="1:49" ht="14.25" customHeight="1">
      <c r="C2354" s="244"/>
      <c r="D2354" s="244"/>
      <c r="E2354" s="248"/>
      <c r="F2354" s="244"/>
      <c r="G2354" s="248"/>
      <c r="H2354" s="278"/>
      <c r="I2354" s="248"/>
      <c r="J2354" s="244"/>
      <c r="K2354" s="248"/>
      <c r="L2354" s="278"/>
      <c r="M2354" s="251"/>
      <c r="N2354" s="250"/>
      <c r="O2354" s="248"/>
      <c r="P2354" s="278"/>
      <c r="Q2354" s="251"/>
      <c r="R2354" s="250"/>
      <c r="S2354" s="248"/>
      <c r="T2354" s="278"/>
      <c r="U2354" s="57"/>
      <c r="V2354" s="57"/>
      <c r="W2354" s="248"/>
      <c r="X2354" s="278"/>
      <c r="Y2354" s="278"/>
      <c r="Z2354" s="278"/>
      <c r="AA2354" s="278"/>
      <c r="AB2354" s="278"/>
    </row>
    <row r="2355" spans="1:49" ht="14.25" customHeight="1">
      <c r="C2355" s="244"/>
      <c r="D2355" s="244"/>
      <c r="E2355" s="248"/>
      <c r="F2355" s="244"/>
      <c r="G2355" s="248"/>
      <c r="H2355" s="278"/>
      <c r="I2355" s="247"/>
      <c r="J2355" s="244"/>
      <c r="K2355" s="248"/>
      <c r="L2355" s="278"/>
      <c r="M2355" s="251"/>
      <c r="N2355" s="250"/>
      <c r="O2355" s="248"/>
      <c r="P2355" s="278"/>
      <c r="Q2355" s="251"/>
      <c r="R2355" s="250"/>
      <c r="S2355" s="248"/>
      <c r="T2355" s="278"/>
      <c r="U2355" s="57"/>
      <c r="V2355" s="57"/>
      <c r="W2355" s="248"/>
      <c r="X2355" s="278"/>
      <c r="Y2355" s="278"/>
      <c r="Z2355" s="278"/>
      <c r="AA2355" s="278"/>
      <c r="AB2355" s="278"/>
    </row>
    <row r="2356" spans="1:49" ht="14.25" customHeight="1">
      <c r="C2356" s="244"/>
      <c r="D2356" s="244"/>
      <c r="E2356" s="248"/>
      <c r="F2356" s="244"/>
      <c r="G2356" s="248"/>
      <c r="H2356" s="278"/>
      <c r="I2356" s="247"/>
      <c r="J2356" s="244"/>
      <c r="K2356" s="248"/>
      <c r="L2356" s="278"/>
      <c r="M2356" s="251"/>
      <c r="N2356" s="250"/>
      <c r="O2356" s="248"/>
      <c r="P2356" s="278"/>
      <c r="Q2356" s="251"/>
      <c r="R2356" s="250"/>
      <c r="S2356" s="248"/>
      <c r="T2356" s="278"/>
      <c r="U2356" s="57"/>
      <c r="V2356" s="57"/>
      <c r="W2356" s="248"/>
      <c r="X2356" s="278"/>
      <c r="Y2356" s="278"/>
      <c r="Z2356" s="278"/>
      <c r="AA2356" s="278"/>
      <c r="AB2356" s="278"/>
    </row>
    <row r="2357" spans="1:49" ht="14.25" customHeight="1">
      <c r="C2357" s="244"/>
      <c r="D2357" s="244"/>
      <c r="E2357" s="248"/>
      <c r="F2357" s="244"/>
      <c r="G2357" s="248"/>
      <c r="H2357" s="278"/>
      <c r="I2357" s="247"/>
      <c r="J2357" s="244"/>
      <c r="K2357" s="248"/>
      <c r="L2357" s="249"/>
      <c r="M2357" s="251"/>
      <c r="N2357" s="250"/>
      <c r="O2357" s="248"/>
      <c r="P2357" s="249"/>
      <c r="Q2357" s="251"/>
      <c r="R2357" s="250"/>
      <c r="S2357" s="248"/>
      <c r="T2357" s="250"/>
      <c r="U2357" s="57"/>
      <c r="V2357" s="57"/>
      <c r="W2357" s="248"/>
    </row>
    <row r="2358" spans="1:49" ht="14.25" customHeight="1">
      <c r="C2358" s="244"/>
      <c r="D2358" s="244"/>
      <c r="E2358" s="58"/>
      <c r="F2358" s="58"/>
      <c r="G2358" s="58"/>
      <c r="H2358" s="58"/>
      <c r="I2358" s="58"/>
      <c r="J2358" s="58"/>
      <c r="K2358" s="58"/>
      <c r="L2358" s="58"/>
      <c r="M2358" s="58"/>
      <c r="N2358" s="58"/>
      <c r="O2358" s="58"/>
      <c r="P2358" s="58"/>
      <c r="Q2358" s="58"/>
      <c r="R2358" s="58"/>
      <c r="S2358" s="58"/>
      <c r="T2358" s="58"/>
      <c r="U2358" s="58"/>
      <c r="V2358" s="58">
        <f t="shared" ref="V2358" si="328">V2367/100*40</f>
        <v>2520</v>
      </c>
      <c r="W2358" s="248"/>
    </row>
    <row r="2359" spans="1:49" s="8" customFormat="1">
      <c r="B2359" s="549" t="str">
        <f>TITLE!$C$43</f>
        <v>Дверна коробка Verto-FIT Plus</v>
      </c>
      <c r="C2359" s="549"/>
      <c r="D2359" s="117"/>
      <c r="E2359" s="551" t="str">
        <f>IF($C$1="ENG","For Door Leafs with Rebbit","Для Дверних Полотен з Фальцем")</f>
        <v>Для Дверних Полотен з Фальцем</v>
      </c>
      <c r="F2359" s="551"/>
      <c r="G2359" s="551"/>
      <c r="H2359" s="551"/>
      <c r="I2359" s="551"/>
      <c r="J2359" s="551"/>
      <c r="K2359" s="551"/>
      <c r="L2359" s="552"/>
      <c r="M2359" s="552"/>
      <c r="N2359" s="552"/>
      <c r="O2359" s="552"/>
      <c r="P2359" s="552"/>
      <c r="Q2359" s="552"/>
      <c r="R2359" s="552"/>
      <c r="S2359" s="552"/>
      <c r="T2359" s="545" t="str">
        <f>IF($C$1="ENG",CONCATENATE("up to: ",B2287),CONCATENATE("вгору до: ",B2287))</f>
        <v>вгору до: Дверна коробка Verto-FIT</v>
      </c>
      <c r="U2359" s="545"/>
      <c r="V2359" s="545"/>
      <c r="W2359" s="545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N2359" s="279"/>
      <c r="AO2359" s="279"/>
      <c r="AP2359" s="279"/>
      <c r="AQ2359" s="279"/>
      <c r="AR2359" s="279"/>
      <c r="AS2359" s="279"/>
      <c r="AT2359" s="279"/>
    </row>
    <row r="2360" spans="1:49" s="8" customFormat="1" ht="5.0999999999999996" customHeight="1">
      <c r="C2360" s="422"/>
      <c r="T2360" s="115"/>
      <c r="U2360" s="115"/>
      <c r="V2360" s="115"/>
      <c r="W2360" s="115"/>
      <c r="AN2360" s="279"/>
      <c r="AO2360" s="279"/>
      <c r="AP2360" s="279"/>
      <c r="AQ2360" s="279"/>
      <c r="AR2360" s="279"/>
      <c r="AS2360" s="279"/>
      <c r="AT2360" s="279"/>
    </row>
    <row r="2361" spans="1:49" ht="12.75" customHeight="1">
      <c r="A2361" s="8"/>
      <c r="B2361" s="306" t="str">
        <f>IF($C$1="ENG","model","модель")</f>
        <v>модель</v>
      </c>
      <c r="C2361" s="121" t="str">
        <f>IF($C$1="ENG","cover:","покриття:")</f>
        <v>покриття:</v>
      </c>
      <c r="D2361" s="538" t="str">
        <f>IF($C$1="ENG","SIMPLEX / VERTO-CELL","SIMPLEX / VERTO-CELL")</f>
        <v>SIMPLEX / VERTO-CELL</v>
      </c>
      <c r="E2361" s="553"/>
      <c r="F2361" s="553"/>
      <c r="G2361" s="539"/>
      <c r="H2361" s="538" t="str">
        <f>IF($C$1="ENG","UNI-MAT","UNI-MAT")</f>
        <v>UNI-MAT</v>
      </c>
      <c r="I2361" s="553"/>
      <c r="J2361" s="553"/>
      <c r="K2361" s="539"/>
      <c r="L2361" s="538" t="str">
        <f>IF($C$1="ENG","RESIST","RESIST")</f>
        <v>RESIST</v>
      </c>
      <c r="M2361" s="553"/>
      <c r="N2361" s="553"/>
      <c r="O2361" s="539"/>
      <c r="P2361" s="538" t="str">
        <f>IF($C$1="ENG","Verto LINE-3D","Verto LINE-3D")</f>
        <v>Verto LINE-3D</v>
      </c>
      <c r="Q2361" s="553"/>
      <c r="R2361" s="553"/>
      <c r="S2361" s="539"/>
      <c r="T2361" s="538" t="str">
        <f>IF($C$1="ENG","ECO Shpon / LOFT","ЕКО Шпон / LOFT")</f>
        <v>ЕКО Шпон / LOFT</v>
      </c>
      <c r="U2361" s="553"/>
      <c r="V2361" s="553"/>
      <c r="W2361" s="539"/>
      <c r="AO2361" s="382"/>
    </row>
    <row r="2362" spans="1:49" ht="12.75" customHeight="1">
      <c r="A2362" s="8"/>
      <c r="B2362" s="308"/>
      <c r="C2362" s="123" t="str">
        <f>IF($C$1="ENG","type:","виконання:")</f>
        <v>виконання:</v>
      </c>
      <c r="D2362" s="542" t="str">
        <f>IF($C$1="ENG","single leaf","одностулкове")</f>
        <v>одностулкове</v>
      </c>
      <c r="E2362" s="547"/>
      <c r="F2362" s="567" t="str">
        <f>IF($C$1="ENG","double leaf","двостулкові")</f>
        <v>двостулкові</v>
      </c>
      <c r="G2362" s="543"/>
      <c r="H2362" s="542" t="str">
        <f>IF($C$1="ENG","single leaf","одностулкове")</f>
        <v>одностулкове</v>
      </c>
      <c r="I2362" s="547"/>
      <c r="J2362" s="567" t="str">
        <f>IF($C$1="ENG","double leaf","двостулкові")</f>
        <v>двостулкові</v>
      </c>
      <c r="K2362" s="543"/>
      <c r="L2362" s="542" t="str">
        <f>IF($C$1="ENG","single leaf","одностулкове")</f>
        <v>одностулкове</v>
      </c>
      <c r="M2362" s="547"/>
      <c r="N2362" s="548" t="str">
        <f>IF($C$1="ENG","double leaf","двостулкові")</f>
        <v>двостулкові</v>
      </c>
      <c r="O2362" s="543"/>
      <c r="P2362" s="542" t="str">
        <f>IF($C$1="ENG","single leaf","одностулкове")</f>
        <v>одностулкове</v>
      </c>
      <c r="Q2362" s="547"/>
      <c r="R2362" s="548" t="str">
        <f>IF($C$1="ENG","double leaf","двостулкові")</f>
        <v>двостулкові</v>
      </c>
      <c r="S2362" s="543"/>
      <c r="T2362" s="542" t="str">
        <f>IF($C$1="ENG","single leaf","одностулкове")</f>
        <v>одностулкове</v>
      </c>
      <c r="U2362" s="547"/>
      <c r="V2362" s="548" t="str">
        <f>IF($C$1="ENG","double leaf","двостулкові")</f>
        <v>двостулкові</v>
      </c>
      <c r="W2362" s="543"/>
    </row>
    <row r="2363" spans="1:49" ht="12.75" customHeight="1">
      <c r="A2363" s="8"/>
      <c r="B2363" s="13" t="str">
        <f>IF($C$1="ENG","A (75 - 95 mm)","A (75 - 95 мм)")</f>
        <v>A (75 - 95 мм)</v>
      </c>
      <c r="C2363" s="424"/>
      <c r="D2363" s="15">
        <f t="shared" ref="D2363:D2372" si="329">IF(AC2363="","",(1-$W$2)*(AC2363/1.2))</f>
        <v>2766.666666666667</v>
      </c>
      <c r="E2363" s="266">
        <f t="shared" ref="E2363:E2372" si="330">IF($W$5=0.2,D2363*1.2,D2363)/$W$4</f>
        <v>3320.0000000000005</v>
      </c>
      <c r="F2363" s="269">
        <f t="shared" ref="F2363:F2372" si="331">IF(AD2363="","",(1-$W$2)*(AD2363/1.2))</f>
        <v>3883.3333333333335</v>
      </c>
      <c r="G2363" s="64">
        <f t="shared" ref="G2363:G2372" si="332">IF($W$5=0.2,F2363*1.2,F2363)/$W$4</f>
        <v>4660</v>
      </c>
      <c r="H2363" s="15">
        <f t="shared" ref="H2363:H2372" si="333">IF(AE2363="","",(1-$W$2)*(AE2363/1.2))</f>
        <v>3183.3333333333335</v>
      </c>
      <c r="I2363" s="266">
        <f t="shared" ref="I2363:I2372" si="334">IF($W$5=0.2,H2363*1.2,H2363)/$W$4</f>
        <v>3820</v>
      </c>
      <c r="J2363" s="269">
        <f t="shared" ref="J2363:J2372" si="335">IF(AF2363="","",(1-$W$2)*(AF2363/1.2))</f>
        <v>4458.3333333333339</v>
      </c>
      <c r="K2363" s="64">
        <f t="shared" ref="K2363:K2372" si="336">IF($W$5=0.2,J2363*1.2,J2363)/$W$4</f>
        <v>5350.0000000000009</v>
      </c>
      <c r="L2363" s="15">
        <f t="shared" ref="L2363:L2372" si="337">IF(AG2363="","",(1-$W$2)*(AG2363/1.2))</f>
        <v>3383.3333333333335</v>
      </c>
      <c r="M2363" s="266">
        <f t="shared" ref="M2363:M2372" si="338">IF($W$5=0.2,L2363*1.2,L2363)/$W$4</f>
        <v>4060</v>
      </c>
      <c r="N2363" s="269">
        <f t="shared" ref="N2363:N2372" si="339">IF(AH2363="","",(1-$W$2)*(AH2363/1.2))</f>
        <v>4741.666666666667</v>
      </c>
      <c r="O2363" s="64">
        <f t="shared" ref="O2363:O2372" si="340">IF($W$5=0.2,N2363*1.2,N2363)/$W$4</f>
        <v>5690</v>
      </c>
      <c r="P2363" s="15">
        <f t="shared" ref="P2363:P2372" si="341">IF(AI2363="","",(1-$W$2)*(AI2363/1.2))</f>
        <v>3616.666666666667</v>
      </c>
      <c r="Q2363" s="266">
        <f t="shared" ref="Q2363:Q2372" si="342">IF($W$5=0.2,P2363*1.2,P2363)/$W$4</f>
        <v>4340</v>
      </c>
      <c r="R2363" s="269">
        <f t="shared" ref="R2363:R2372" si="343">IF(AJ2363="","",(1-$W$2)*(AJ2363/1.2))</f>
        <v>5066.666666666667</v>
      </c>
      <c r="S2363" s="64">
        <f t="shared" ref="S2363:S2372" si="344">IF($W$5=0.2,R2363*1.2,R2363)/$W$4</f>
        <v>6080</v>
      </c>
      <c r="T2363" s="15">
        <f t="shared" ref="T2363:T2372" si="345">IF(AK2363="","",(1-$W$2)*(AK2363/1.2))</f>
        <v>3883.3333333333335</v>
      </c>
      <c r="U2363" s="266">
        <f t="shared" ref="U2363:U2372" si="346">IF($W$5=0.2,T2363*1.2,T2363)/$W$4</f>
        <v>4660</v>
      </c>
      <c r="V2363" s="269">
        <f t="shared" ref="V2363:V2372" si="347">IF(AL2363="","",(1-$W$2)*(AL2363/1.2))</f>
        <v>5433.3333333333339</v>
      </c>
      <c r="W2363" s="64">
        <f t="shared" ref="W2363:W2372" si="348">IF($W$5=0.2,V2363*1.2,V2363)/$W$4</f>
        <v>6520.0000000000009</v>
      </c>
      <c r="X2363" s="22"/>
      <c r="Y2363" s="22"/>
      <c r="Z2363" s="22"/>
      <c r="AA2363" s="22"/>
      <c r="AB2363" s="22"/>
      <c r="AC2363" s="331">
        <v>3320</v>
      </c>
      <c r="AD2363" s="331">
        <v>4660</v>
      </c>
      <c r="AE2363" s="331">
        <v>3820</v>
      </c>
      <c r="AF2363" s="331">
        <v>5350</v>
      </c>
      <c r="AG2363" s="331">
        <v>4060</v>
      </c>
      <c r="AH2363" s="331">
        <v>5690</v>
      </c>
      <c r="AI2363" s="331">
        <v>4340</v>
      </c>
      <c r="AJ2363" s="331">
        <v>6080</v>
      </c>
      <c r="AK2363" s="331">
        <v>4660</v>
      </c>
      <c r="AL2363" s="331">
        <v>6520</v>
      </c>
      <c r="AM2363" s="333">
        <v>3320</v>
      </c>
      <c r="AN2363" s="309">
        <f>AM2363/AC2363-1</f>
        <v>0</v>
      </c>
      <c r="AO2363" s="333">
        <v>4660</v>
      </c>
      <c r="AP2363" s="397">
        <f>AO2363/AD2363-1</f>
        <v>0</v>
      </c>
      <c r="AQ2363" s="333">
        <v>3820</v>
      </c>
      <c r="AR2363" s="333">
        <f>AQ2363/AE2363-1</f>
        <v>0</v>
      </c>
      <c r="AS2363" s="333">
        <v>5350</v>
      </c>
      <c r="AT2363" s="333">
        <f>AS2363/AF2363-1</f>
        <v>0</v>
      </c>
      <c r="AU2363" s="333">
        <v>4060</v>
      </c>
      <c r="AV2363" s="333">
        <f>AU2363/AG2363-1</f>
        <v>0</v>
      </c>
      <c r="AW2363" s="333">
        <v>5690</v>
      </c>
    </row>
    <row r="2364" spans="1:49">
      <c r="A2364" s="8"/>
      <c r="B2364" s="16" t="str">
        <f>IF($C$1="ENG","B (95 - 115 mm)","B (95 - 115 мм)")</f>
        <v>B (95 - 115 мм)</v>
      </c>
      <c r="C2364" s="430"/>
      <c r="D2364" s="18">
        <f t="shared" si="329"/>
        <v>2916.666666666667</v>
      </c>
      <c r="E2364" s="267">
        <f t="shared" si="330"/>
        <v>3500.0000000000005</v>
      </c>
      <c r="F2364" s="270">
        <f t="shared" si="331"/>
        <v>4083.3333333333335</v>
      </c>
      <c r="G2364" s="66">
        <f t="shared" si="332"/>
        <v>4900</v>
      </c>
      <c r="H2364" s="18">
        <f t="shared" si="333"/>
        <v>3366.666666666667</v>
      </c>
      <c r="I2364" s="267">
        <f t="shared" si="334"/>
        <v>4040</v>
      </c>
      <c r="J2364" s="270">
        <f t="shared" si="335"/>
        <v>4708.3333333333339</v>
      </c>
      <c r="K2364" s="66">
        <f t="shared" si="336"/>
        <v>5650.0000000000009</v>
      </c>
      <c r="L2364" s="18">
        <f t="shared" si="337"/>
        <v>3558.3333333333335</v>
      </c>
      <c r="M2364" s="267">
        <f t="shared" si="338"/>
        <v>4270</v>
      </c>
      <c r="N2364" s="270">
        <f t="shared" si="339"/>
        <v>4983.3333333333339</v>
      </c>
      <c r="O2364" s="66">
        <f t="shared" si="340"/>
        <v>5980.0000000000009</v>
      </c>
      <c r="P2364" s="18">
        <f t="shared" si="341"/>
        <v>3816.666666666667</v>
      </c>
      <c r="Q2364" s="267">
        <f t="shared" si="342"/>
        <v>4580</v>
      </c>
      <c r="R2364" s="270">
        <f t="shared" si="343"/>
        <v>5341.666666666667</v>
      </c>
      <c r="S2364" s="66">
        <f t="shared" si="344"/>
        <v>6410</v>
      </c>
      <c r="T2364" s="18">
        <f t="shared" si="345"/>
        <v>4075</v>
      </c>
      <c r="U2364" s="267">
        <f t="shared" si="346"/>
        <v>4890</v>
      </c>
      <c r="V2364" s="270">
        <f t="shared" si="347"/>
        <v>5708.3333333333339</v>
      </c>
      <c r="W2364" s="66">
        <f t="shared" si="348"/>
        <v>6850.0000000000009</v>
      </c>
      <c r="X2364" s="22"/>
      <c r="Y2364" s="22"/>
      <c r="Z2364" s="22"/>
      <c r="AA2364" s="22"/>
      <c r="AB2364" s="22"/>
      <c r="AC2364" s="331">
        <v>3500</v>
      </c>
      <c r="AD2364" s="331">
        <v>4900</v>
      </c>
      <c r="AE2364" s="331">
        <v>4040</v>
      </c>
      <c r="AF2364" s="331">
        <v>5650</v>
      </c>
      <c r="AG2364" s="331">
        <v>4270</v>
      </c>
      <c r="AH2364" s="331">
        <v>5980</v>
      </c>
      <c r="AI2364" s="331">
        <v>4580</v>
      </c>
      <c r="AJ2364" s="331">
        <v>6410</v>
      </c>
      <c r="AK2364" s="331">
        <v>4890</v>
      </c>
      <c r="AL2364" s="331">
        <v>6850</v>
      </c>
      <c r="AM2364" s="333">
        <v>3500</v>
      </c>
      <c r="AN2364" s="309">
        <f t="shared" ref="AN2364:AN2372" si="349">AM2364/AC2364-1</f>
        <v>0</v>
      </c>
      <c r="AO2364" s="333">
        <v>4900</v>
      </c>
      <c r="AP2364" s="397">
        <f t="shared" ref="AP2364:AP2372" si="350">AO2364/AD2364-1</f>
        <v>0</v>
      </c>
      <c r="AQ2364" s="333">
        <v>4040</v>
      </c>
      <c r="AR2364" s="333">
        <f t="shared" ref="AR2364:AR2372" si="351">AQ2364/AE2364-1</f>
        <v>0</v>
      </c>
      <c r="AS2364" s="333">
        <v>5650</v>
      </c>
      <c r="AT2364" s="333">
        <f t="shared" ref="AT2364:AT2372" si="352">AS2364/AF2364-1</f>
        <v>0</v>
      </c>
      <c r="AU2364" s="333">
        <v>4270</v>
      </c>
      <c r="AV2364" s="333">
        <f t="shared" ref="AV2364:AV2372" si="353">AU2364/AG2364-1</f>
        <v>0</v>
      </c>
      <c r="AW2364" s="333">
        <v>5980</v>
      </c>
    </row>
    <row r="2365" spans="1:49">
      <c r="A2365" s="8"/>
      <c r="B2365" s="16" t="str">
        <f>IF($C$1="ENG","B+ (100 - 120 mm)","B+ (100 - 120 мм)")</f>
        <v>B+ (100 - 120 мм)</v>
      </c>
      <c r="C2365" s="430"/>
      <c r="D2365" s="18">
        <f t="shared" si="329"/>
        <v>3000</v>
      </c>
      <c r="E2365" s="267">
        <f t="shared" si="330"/>
        <v>3600</v>
      </c>
      <c r="F2365" s="270">
        <f t="shared" si="331"/>
        <v>4208.3333333333339</v>
      </c>
      <c r="G2365" s="66">
        <f t="shared" si="332"/>
        <v>5050.0000000000009</v>
      </c>
      <c r="H2365" s="18">
        <f t="shared" si="333"/>
        <v>3458.3333333333335</v>
      </c>
      <c r="I2365" s="267">
        <f t="shared" si="334"/>
        <v>4150</v>
      </c>
      <c r="J2365" s="270">
        <f t="shared" si="335"/>
        <v>4841.666666666667</v>
      </c>
      <c r="K2365" s="66">
        <f t="shared" si="336"/>
        <v>5810</v>
      </c>
      <c r="L2365" s="18">
        <f t="shared" si="337"/>
        <v>3658.3333333333335</v>
      </c>
      <c r="M2365" s="267">
        <f t="shared" si="338"/>
        <v>4390</v>
      </c>
      <c r="N2365" s="270">
        <f t="shared" si="339"/>
        <v>5116.666666666667</v>
      </c>
      <c r="O2365" s="66">
        <f t="shared" si="340"/>
        <v>6140</v>
      </c>
      <c r="P2365" s="18">
        <f t="shared" si="341"/>
        <v>3900</v>
      </c>
      <c r="Q2365" s="267">
        <f t="shared" si="342"/>
        <v>4680</v>
      </c>
      <c r="R2365" s="270">
        <f t="shared" si="343"/>
        <v>5450</v>
      </c>
      <c r="S2365" s="66">
        <f t="shared" si="344"/>
        <v>6540</v>
      </c>
      <c r="T2365" s="18">
        <f t="shared" si="345"/>
        <v>4183.3333333333339</v>
      </c>
      <c r="U2365" s="267">
        <f t="shared" si="346"/>
        <v>5020.0000000000009</v>
      </c>
      <c r="V2365" s="270">
        <f t="shared" si="347"/>
        <v>5858.3333333333339</v>
      </c>
      <c r="W2365" s="66">
        <f t="shared" si="348"/>
        <v>7030.0000000000009</v>
      </c>
      <c r="X2365" s="22"/>
      <c r="Y2365" s="22"/>
      <c r="Z2365" s="22"/>
      <c r="AA2365" s="22"/>
      <c r="AB2365" s="22"/>
      <c r="AC2365" s="331">
        <v>3600</v>
      </c>
      <c r="AD2365" s="331">
        <v>5050</v>
      </c>
      <c r="AE2365" s="331">
        <v>4150</v>
      </c>
      <c r="AF2365" s="331">
        <v>5810</v>
      </c>
      <c r="AG2365" s="331">
        <v>4390</v>
      </c>
      <c r="AH2365" s="331">
        <v>6140</v>
      </c>
      <c r="AI2365" s="331">
        <v>4680</v>
      </c>
      <c r="AJ2365" s="331">
        <v>6540</v>
      </c>
      <c r="AK2365" s="331">
        <v>5020</v>
      </c>
      <c r="AL2365" s="331">
        <v>7030</v>
      </c>
      <c r="AM2365" s="333">
        <v>3600</v>
      </c>
      <c r="AN2365" s="309">
        <f t="shared" si="349"/>
        <v>0</v>
      </c>
      <c r="AO2365" s="333">
        <v>5050</v>
      </c>
      <c r="AP2365" s="397">
        <f t="shared" si="350"/>
        <v>0</v>
      </c>
      <c r="AQ2365" s="333">
        <v>4150</v>
      </c>
      <c r="AR2365" s="333">
        <f t="shared" si="351"/>
        <v>0</v>
      </c>
      <c r="AS2365" s="333">
        <v>5810</v>
      </c>
      <c r="AT2365" s="333">
        <f t="shared" si="352"/>
        <v>0</v>
      </c>
      <c r="AU2365" s="333">
        <v>4390</v>
      </c>
      <c r="AV2365" s="333">
        <f t="shared" si="353"/>
        <v>0</v>
      </c>
      <c r="AW2365" s="333">
        <v>6140</v>
      </c>
    </row>
    <row r="2366" spans="1:49">
      <c r="A2366" s="8"/>
      <c r="B2366" s="16" t="str">
        <f>IF($C$1="ENG","C (120 - 140 mm)","C (120 - 140 мм)")</f>
        <v>C (120 - 140 мм)</v>
      </c>
      <c r="C2366" s="430"/>
      <c r="D2366" s="18">
        <f t="shared" si="329"/>
        <v>3075</v>
      </c>
      <c r="E2366" s="267">
        <f t="shared" si="330"/>
        <v>3690</v>
      </c>
      <c r="F2366" s="270">
        <f t="shared" si="331"/>
        <v>4291.666666666667</v>
      </c>
      <c r="G2366" s="66">
        <f t="shared" si="332"/>
        <v>5150</v>
      </c>
      <c r="H2366" s="18">
        <f t="shared" si="333"/>
        <v>3533.3333333333335</v>
      </c>
      <c r="I2366" s="267">
        <f t="shared" si="334"/>
        <v>4240</v>
      </c>
      <c r="J2366" s="270">
        <f t="shared" si="335"/>
        <v>4950</v>
      </c>
      <c r="K2366" s="66">
        <f t="shared" si="336"/>
        <v>5940</v>
      </c>
      <c r="L2366" s="18">
        <f t="shared" si="337"/>
        <v>3741.666666666667</v>
      </c>
      <c r="M2366" s="267">
        <f t="shared" si="338"/>
        <v>4490</v>
      </c>
      <c r="N2366" s="270">
        <f t="shared" si="339"/>
        <v>5241.666666666667</v>
      </c>
      <c r="O2366" s="66">
        <f t="shared" si="340"/>
        <v>6290</v>
      </c>
      <c r="P2366" s="18">
        <f t="shared" si="341"/>
        <v>4000</v>
      </c>
      <c r="Q2366" s="267">
        <f t="shared" si="342"/>
        <v>4800</v>
      </c>
      <c r="R2366" s="270">
        <f t="shared" si="343"/>
        <v>5600</v>
      </c>
      <c r="S2366" s="66">
        <f t="shared" si="344"/>
        <v>6720</v>
      </c>
      <c r="T2366" s="18">
        <f t="shared" si="345"/>
        <v>4291.666666666667</v>
      </c>
      <c r="U2366" s="267">
        <f t="shared" si="346"/>
        <v>5150</v>
      </c>
      <c r="V2366" s="270">
        <f t="shared" si="347"/>
        <v>6008.3333333333339</v>
      </c>
      <c r="W2366" s="66">
        <f t="shared" si="348"/>
        <v>7210.0000000000009</v>
      </c>
      <c r="X2366" s="22"/>
      <c r="Y2366" s="22"/>
      <c r="Z2366" s="22"/>
      <c r="AA2366" s="22"/>
      <c r="AB2366" s="22"/>
      <c r="AC2366" s="331">
        <v>3690</v>
      </c>
      <c r="AD2366" s="331">
        <v>5150</v>
      </c>
      <c r="AE2366" s="331">
        <v>4240</v>
      </c>
      <c r="AF2366" s="331">
        <v>5940</v>
      </c>
      <c r="AG2366" s="331">
        <v>4490</v>
      </c>
      <c r="AH2366" s="331">
        <v>6290</v>
      </c>
      <c r="AI2366" s="331">
        <v>4800</v>
      </c>
      <c r="AJ2366" s="331">
        <v>6720</v>
      </c>
      <c r="AK2366" s="331">
        <v>5150</v>
      </c>
      <c r="AL2366" s="331">
        <v>7210</v>
      </c>
      <c r="AM2366" s="333">
        <v>3690</v>
      </c>
      <c r="AN2366" s="309">
        <f t="shared" si="349"/>
        <v>0</v>
      </c>
      <c r="AO2366" s="333">
        <v>5150</v>
      </c>
      <c r="AP2366" s="397">
        <f t="shared" si="350"/>
        <v>0</v>
      </c>
      <c r="AQ2366" s="333">
        <v>4240</v>
      </c>
      <c r="AR2366" s="333">
        <f t="shared" si="351"/>
        <v>0</v>
      </c>
      <c r="AS2366" s="333">
        <v>5940</v>
      </c>
      <c r="AT2366" s="333">
        <f t="shared" si="352"/>
        <v>0</v>
      </c>
      <c r="AU2366" s="333">
        <v>4490</v>
      </c>
      <c r="AV2366" s="333">
        <f t="shared" si="353"/>
        <v>0</v>
      </c>
      <c r="AW2366" s="333">
        <v>6290</v>
      </c>
    </row>
    <row r="2367" spans="1:49">
      <c r="A2367" s="8"/>
      <c r="B2367" s="16" t="str">
        <f>IF($C$1="ENG","D (140 - 160 mm)","D (140 - 160 мм)")</f>
        <v>D (140 - 160 мм)</v>
      </c>
      <c r="C2367" s="430"/>
      <c r="D2367" s="18">
        <f t="shared" si="329"/>
        <v>3241.666666666667</v>
      </c>
      <c r="E2367" s="267">
        <f t="shared" si="330"/>
        <v>3890</v>
      </c>
      <c r="F2367" s="270">
        <f t="shared" si="331"/>
        <v>4541.666666666667</v>
      </c>
      <c r="G2367" s="66">
        <f t="shared" si="332"/>
        <v>5450</v>
      </c>
      <c r="H2367" s="18">
        <f t="shared" si="333"/>
        <v>3733.3333333333335</v>
      </c>
      <c r="I2367" s="267">
        <f t="shared" si="334"/>
        <v>4480</v>
      </c>
      <c r="J2367" s="270">
        <f t="shared" si="335"/>
        <v>5216.666666666667</v>
      </c>
      <c r="K2367" s="66">
        <f t="shared" si="336"/>
        <v>6260</v>
      </c>
      <c r="L2367" s="18">
        <f t="shared" si="337"/>
        <v>3908.3333333333335</v>
      </c>
      <c r="M2367" s="267">
        <f t="shared" si="338"/>
        <v>4690</v>
      </c>
      <c r="N2367" s="270">
        <f t="shared" si="339"/>
        <v>5558.3333333333339</v>
      </c>
      <c r="O2367" s="66">
        <f t="shared" si="340"/>
        <v>6670.0000000000009</v>
      </c>
      <c r="P2367" s="18">
        <f t="shared" si="341"/>
        <v>4183.3333333333339</v>
      </c>
      <c r="Q2367" s="267">
        <f t="shared" si="342"/>
        <v>5020.0000000000009</v>
      </c>
      <c r="R2367" s="270">
        <f t="shared" si="343"/>
        <v>5858.3333333333339</v>
      </c>
      <c r="S2367" s="66">
        <f t="shared" si="344"/>
        <v>7030.0000000000009</v>
      </c>
      <c r="T2367" s="18">
        <f t="shared" si="345"/>
        <v>4500</v>
      </c>
      <c r="U2367" s="267">
        <f t="shared" si="346"/>
        <v>5400</v>
      </c>
      <c r="V2367" s="270">
        <f t="shared" si="347"/>
        <v>6300</v>
      </c>
      <c r="W2367" s="66">
        <f t="shared" si="348"/>
        <v>7560</v>
      </c>
      <c r="X2367" s="22"/>
      <c r="Y2367" s="22"/>
      <c r="Z2367" s="22"/>
      <c r="AA2367" s="22"/>
      <c r="AB2367" s="22"/>
      <c r="AC2367" s="331">
        <v>3890</v>
      </c>
      <c r="AD2367" s="331">
        <v>5450</v>
      </c>
      <c r="AE2367" s="331">
        <v>4480</v>
      </c>
      <c r="AF2367" s="331">
        <v>6260</v>
      </c>
      <c r="AG2367" s="331">
        <v>4690</v>
      </c>
      <c r="AH2367" s="331">
        <v>6670</v>
      </c>
      <c r="AI2367" s="331">
        <v>5020</v>
      </c>
      <c r="AJ2367" s="331">
        <v>7030</v>
      </c>
      <c r="AK2367" s="331">
        <v>5400</v>
      </c>
      <c r="AL2367" s="331">
        <v>7560</v>
      </c>
      <c r="AM2367" s="333">
        <v>3890</v>
      </c>
      <c r="AN2367" s="309">
        <f t="shared" si="349"/>
        <v>0</v>
      </c>
      <c r="AO2367" s="333">
        <v>5450</v>
      </c>
      <c r="AP2367" s="397">
        <f t="shared" si="350"/>
        <v>0</v>
      </c>
      <c r="AQ2367" s="333">
        <v>4480</v>
      </c>
      <c r="AR2367" s="333">
        <f t="shared" si="351"/>
        <v>0</v>
      </c>
      <c r="AS2367" s="333">
        <v>6260</v>
      </c>
      <c r="AT2367" s="333">
        <f t="shared" si="352"/>
        <v>0</v>
      </c>
      <c r="AU2367" s="333">
        <v>4690</v>
      </c>
      <c r="AV2367" s="333">
        <f t="shared" si="353"/>
        <v>0</v>
      </c>
      <c r="AW2367" s="333">
        <v>6670</v>
      </c>
    </row>
    <row r="2368" spans="1:49">
      <c r="A2368" s="8"/>
      <c r="B2368" s="16" t="str">
        <f>IF($C$1="ENG","E (160 - 180 mm)","E (160 - 180 мм)")</f>
        <v>E (160 - 180 мм)</v>
      </c>
      <c r="C2368" s="430"/>
      <c r="D2368" s="18">
        <f t="shared" si="329"/>
        <v>3383.3333333333335</v>
      </c>
      <c r="E2368" s="267">
        <f>IF($W$5=0.2,D2368*1.2,D2368)/$W$4</f>
        <v>4060</v>
      </c>
      <c r="F2368" s="270">
        <f t="shared" si="331"/>
        <v>4725</v>
      </c>
      <c r="G2368" s="66">
        <f t="shared" si="332"/>
        <v>5670</v>
      </c>
      <c r="H2368" s="18">
        <f t="shared" si="333"/>
        <v>3891.666666666667</v>
      </c>
      <c r="I2368" s="267">
        <f t="shared" si="334"/>
        <v>4670</v>
      </c>
      <c r="J2368" s="270">
        <f t="shared" si="335"/>
        <v>5441.666666666667</v>
      </c>
      <c r="K2368" s="66">
        <f t="shared" si="336"/>
        <v>6530</v>
      </c>
      <c r="L2368" s="18">
        <f t="shared" si="337"/>
        <v>4083.3333333333335</v>
      </c>
      <c r="M2368" s="267">
        <f t="shared" si="338"/>
        <v>4900</v>
      </c>
      <c r="N2368" s="270">
        <f t="shared" si="339"/>
        <v>5725</v>
      </c>
      <c r="O2368" s="66">
        <f t="shared" si="340"/>
        <v>6870</v>
      </c>
      <c r="P2368" s="18">
        <f t="shared" si="341"/>
        <v>4366.666666666667</v>
      </c>
      <c r="Q2368" s="267">
        <f t="shared" si="342"/>
        <v>5240</v>
      </c>
      <c r="R2368" s="270">
        <f t="shared" si="343"/>
        <v>6108.3333333333339</v>
      </c>
      <c r="S2368" s="66">
        <f t="shared" si="344"/>
        <v>7330.0000000000009</v>
      </c>
      <c r="T2368" s="18">
        <f t="shared" si="345"/>
        <v>4716.666666666667</v>
      </c>
      <c r="U2368" s="267">
        <f t="shared" si="346"/>
        <v>5660</v>
      </c>
      <c r="V2368" s="270">
        <f t="shared" si="347"/>
        <v>6600.8333333333339</v>
      </c>
      <c r="W2368" s="66">
        <f t="shared" si="348"/>
        <v>7921</v>
      </c>
      <c r="X2368" s="22"/>
      <c r="Y2368" s="22"/>
      <c r="Z2368" s="22"/>
      <c r="AA2368" s="22"/>
      <c r="AB2368" s="22"/>
      <c r="AC2368" s="331">
        <v>4060</v>
      </c>
      <c r="AD2368" s="331">
        <v>5670</v>
      </c>
      <c r="AE2368" s="331">
        <v>4670</v>
      </c>
      <c r="AF2368" s="331">
        <v>6530</v>
      </c>
      <c r="AG2368" s="331">
        <v>4900</v>
      </c>
      <c r="AH2368" s="331">
        <v>6870</v>
      </c>
      <c r="AI2368" s="331">
        <v>5240</v>
      </c>
      <c r="AJ2368" s="331">
        <v>7330</v>
      </c>
      <c r="AK2368" s="331">
        <v>5660</v>
      </c>
      <c r="AL2368" s="331">
        <v>7921</v>
      </c>
      <c r="AM2368" s="333">
        <v>4060</v>
      </c>
      <c r="AN2368" s="309">
        <f t="shared" si="349"/>
        <v>0</v>
      </c>
      <c r="AO2368" s="333">
        <v>5670</v>
      </c>
      <c r="AP2368" s="397">
        <f t="shared" si="350"/>
        <v>0</v>
      </c>
      <c r="AQ2368" s="333">
        <v>4670</v>
      </c>
      <c r="AR2368" s="333">
        <f t="shared" si="351"/>
        <v>0</v>
      </c>
      <c r="AS2368" s="333">
        <v>6530</v>
      </c>
      <c r="AT2368" s="333">
        <f t="shared" si="352"/>
        <v>0</v>
      </c>
      <c r="AU2368" s="333">
        <v>4900</v>
      </c>
      <c r="AV2368" s="333">
        <f t="shared" si="353"/>
        <v>0</v>
      </c>
      <c r="AW2368" s="333">
        <v>6870</v>
      </c>
    </row>
    <row r="2369" spans="1:49">
      <c r="A2369" s="8"/>
      <c r="B2369" s="16" t="str">
        <f>IF($C$1="ENG","F (180 - 200 mm)","F (180 - 200 мм)")</f>
        <v>F (180 - 200 мм)</v>
      </c>
      <c r="C2369" s="430"/>
      <c r="D2369" s="18">
        <f t="shared" si="329"/>
        <v>3550</v>
      </c>
      <c r="E2369" s="267">
        <f t="shared" si="330"/>
        <v>4260</v>
      </c>
      <c r="F2369" s="270">
        <f t="shared" si="331"/>
        <v>4958.3333333333339</v>
      </c>
      <c r="G2369" s="66">
        <f t="shared" si="332"/>
        <v>5950.0000000000009</v>
      </c>
      <c r="H2369" s="18">
        <f t="shared" si="333"/>
        <v>4075</v>
      </c>
      <c r="I2369" s="267">
        <f t="shared" si="334"/>
        <v>4890</v>
      </c>
      <c r="J2369" s="270">
        <f t="shared" si="335"/>
        <v>5700</v>
      </c>
      <c r="K2369" s="66">
        <f t="shared" si="336"/>
        <v>6840</v>
      </c>
      <c r="L2369" s="18">
        <f t="shared" si="337"/>
        <v>4275</v>
      </c>
      <c r="M2369" s="267">
        <f t="shared" si="338"/>
        <v>5130</v>
      </c>
      <c r="N2369" s="270">
        <f t="shared" si="339"/>
        <v>5991.666666666667</v>
      </c>
      <c r="O2369" s="66">
        <f t="shared" si="340"/>
        <v>7190</v>
      </c>
      <c r="P2369" s="18">
        <f t="shared" si="341"/>
        <v>4566.666666666667</v>
      </c>
      <c r="Q2369" s="267">
        <f t="shared" si="342"/>
        <v>5480</v>
      </c>
      <c r="R2369" s="270">
        <f t="shared" si="343"/>
        <v>6391.666666666667</v>
      </c>
      <c r="S2369" s="66">
        <f t="shared" si="344"/>
        <v>7670</v>
      </c>
      <c r="T2369" s="18">
        <f t="shared" si="345"/>
        <v>4925</v>
      </c>
      <c r="U2369" s="267">
        <f t="shared" si="346"/>
        <v>5910</v>
      </c>
      <c r="V2369" s="270">
        <f t="shared" si="347"/>
        <v>6891.666666666667</v>
      </c>
      <c r="W2369" s="66">
        <f t="shared" si="348"/>
        <v>8270</v>
      </c>
      <c r="X2369" s="22"/>
      <c r="Y2369" s="22"/>
      <c r="Z2369" s="22"/>
      <c r="AA2369" s="22"/>
      <c r="AB2369" s="22"/>
      <c r="AC2369" s="331">
        <v>4260</v>
      </c>
      <c r="AD2369" s="331">
        <v>5950</v>
      </c>
      <c r="AE2369" s="331">
        <v>4890</v>
      </c>
      <c r="AF2369" s="331">
        <v>6840</v>
      </c>
      <c r="AG2369" s="331">
        <v>5130</v>
      </c>
      <c r="AH2369" s="331">
        <v>7190</v>
      </c>
      <c r="AI2369" s="331">
        <v>5480</v>
      </c>
      <c r="AJ2369" s="331">
        <v>7670</v>
      </c>
      <c r="AK2369" s="331">
        <v>5910</v>
      </c>
      <c r="AL2369" s="331">
        <v>8270</v>
      </c>
      <c r="AM2369" s="333">
        <v>4260</v>
      </c>
      <c r="AN2369" s="309">
        <f t="shared" si="349"/>
        <v>0</v>
      </c>
      <c r="AO2369" s="333">
        <v>5950</v>
      </c>
      <c r="AP2369" s="397">
        <f t="shared" si="350"/>
        <v>0</v>
      </c>
      <c r="AQ2369" s="333">
        <v>4890</v>
      </c>
      <c r="AR2369" s="333">
        <f t="shared" si="351"/>
        <v>0</v>
      </c>
      <c r="AS2369" s="333">
        <v>6840</v>
      </c>
      <c r="AT2369" s="333">
        <f t="shared" si="352"/>
        <v>0</v>
      </c>
      <c r="AU2369" s="333">
        <v>5130</v>
      </c>
      <c r="AV2369" s="333">
        <f t="shared" si="353"/>
        <v>0</v>
      </c>
      <c r="AW2369" s="333">
        <v>7190</v>
      </c>
    </row>
    <row r="2370" spans="1:49">
      <c r="A2370" s="8"/>
      <c r="B2370" s="16" t="str">
        <f>IF($C$1="ENG","G (200 - 220 mm)","G (200 - 220 мм)")</f>
        <v>G (200 - 220 мм)</v>
      </c>
      <c r="C2370" s="430"/>
      <c r="D2370" s="18">
        <f t="shared" si="329"/>
        <v>3691.666666666667</v>
      </c>
      <c r="E2370" s="267">
        <f t="shared" si="330"/>
        <v>4430</v>
      </c>
      <c r="F2370" s="270">
        <f t="shared" si="331"/>
        <v>5166.666666666667</v>
      </c>
      <c r="G2370" s="66">
        <f t="shared" si="332"/>
        <v>6200</v>
      </c>
      <c r="H2370" s="18">
        <f t="shared" si="333"/>
        <v>4250</v>
      </c>
      <c r="I2370" s="267">
        <f t="shared" si="334"/>
        <v>5100</v>
      </c>
      <c r="J2370" s="270">
        <f t="shared" si="335"/>
        <v>5941.666666666667</v>
      </c>
      <c r="K2370" s="66">
        <f t="shared" si="336"/>
        <v>7130</v>
      </c>
      <c r="L2370" s="18">
        <f t="shared" si="337"/>
        <v>4450</v>
      </c>
      <c r="M2370" s="267">
        <f t="shared" si="338"/>
        <v>5340</v>
      </c>
      <c r="N2370" s="270">
        <f t="shared" si="339"/>
        <v>6225</v>
      </c>
      <c r="O2370" s="66">
        <f t="shared" si="340"/>
        <v>7470</v>
      </c>
      <c r="P2370" s="18">
        <f t="shared" si="341"/>
        <v>4758.3333333333339</v>
      </c>
      <c r="Q2370" s="267">
        <f t="shared" si="342"/>
        <v>5710.0000000000009</v>
      </c>
      <c r="R2370" s="270">
        <f t="shared" si="343"/>
        <v>6658.3333333333339</v>
      </c>
      <c r="S2370" s="66">
        <f t="shared" si="344"/>
        <v>7990</v>
      </c>
      <c r="T2370" s="18">
        <f t="shared" si="345"/>
        <v>5141.666666666667</v>
      </c>
      <c r="U2370" s="267">
        <f t="shared" si="346"/>
        <v>6170</v>
      </c>
      <c r="V2370" s="270">
        <f t="shared" si="347"/>
        <v>7191.666666666667</v>
      </c>
      <c r="W2370" s="66">
        <f t="shared" si="348"/>
        <v>8630</v>
      </c>
      <c r="X2370" s="22"/>
      <c r="Y2370" s="22"/>
      <c r="Z2370" s="22"/>
      <c r="AA2370" s="22"/>
      <c r="AB2370" s="22"/>
      <c r="AC2370" s="331">
        <v>4430</v>
      </c>
      <c r="AD2370" s="331">
        <v>6200</v>
      </c>
      <c r="AE2370" s="331">
        <v>5100</v>
      </c>
      <c r="AF2370" s="331">
        <v>7130</v>
      </c>
      <c r="AG2370" s="331">
        <v>5340</v>
      </c>
      <c r="AH2370" s="331">
        <v>7470</v>
      </c>
      <c r="AI2370" s="331">
        <v>5710</v>
      </c>
      <c r="AJ2370" s="331">
        <v>7990</v>
      </c>
      <c r="AK2370" s="331">
        <v>6170</v>
      </c>
      <c r="AL2370" s="331">
        <v>8630</v>
      </c>
      <c r="AM2370" s="333">
        <v>4430</v>
      </c>
      <c r="AN2370" s="309">
        <f t="shared" si="349"/>
        <v>0</v>
      </c>
      <c r="AO2370" s="333">
        <v>6200</v>
      </c>
      <c r="AP2370" s="397">
        <f t="shared" si="350"/>
        <v>0</v>
      </c>
      <c r="AQ2370" s="333">
        <v>5100</v>
      </c>
      <c r="AR2370" s="333">
        <f t="shared" si="351"/>
        <v>0</v>
      </c>
      <c r="AS2370" s="333">
        <v>7130</v>
      </c>
      <c r="AT2370" s="333">
        <f t="shared" si="352"/>
        <v>0</v>
      </c>
      <c r="AU2370" s="333">
        <v>5340</v>
      </c>
      <c r="AV2370" s="333">
        <f t="shared" si="353"/>
        <v>0</v>
      </c>
      <c r="AW2370" s="333">
        <v>7470</v>
      </c>
    </row>
    <row r="2371" spans="1:49">
      <c r="A2371" s="8"/>
      <c r="B2371" s="16" t="str">
        <f>IF($C$1="ENG","H (220 - 240 mm)","H (220 - 240 мм)")</f>
        <v>H (220 - 240 мм)</v>
      </c>
      <c r="C2371" s="430"/>
      <c r="D2371" s="18">
        <f t="shared" si="329"/>
        <v>3841.666666666667</v>
      </c>
      <c r="E2371" s="267">
        <f t="shared" si="330"/>
        <v>4610</v>
      </c>
      <c r="F2371" s="270">
        <f t="shared" si="331"/>
        <v>5375</v>
      </c>
      <c r="G2371" s="66">
        <f t="shared" si="332"/>
        <v>6450</v>
      </c>
      <c r="H2371" s="18">
        <f t="shared" si="333"/>
        <v>4416.666666666667</v>
      </c>
      <c r="I2371" s="267">
        <f t="shared" si="334"/>
        <v>5300</v>
      </c>
      <c r="J2371" s="270">
        <f t="shared" si="335"/>
        <v>6191.666666666667</v>
      </c>
      <c r="K2371" s="66">
        <f t="shared" si="336"/>
        <v>7430</v>
      </c>
      <c r="L2371" s="18">
        <f t="shared" si="337"/>
        <v>4625</v>
      </c>
      <c r="M2371" s="267">
        <f t="shared" si="338"/>
        <v>5550</v>
      </c>
      <c r="N2371" s="270">
        <f t="shared" si="339"/>
        <v>6475</v>
      </c>
      <c r="O2371" s="66">
        <f t="shared" si="340"/>
        <v>7770</v>
      </c>
      <c r="P2371" s="18">
        <f t="shared" si="341"/>
        <v>4933.3333333333339</v>
      </c>
      <c r="Q2371" s="267">
        <f t="shared" si="342"/>
        <v>5920.0000000000009</v>
      </c>
      <c r="R2371" s="270">
        <f t="shared" si="343"/>
        <v>6908.3333333333339</v>
      </c>
      <c r="S2371" s="66">
        <f t="shared" si="344"/>
        <v>8290</v>
      </c>
      <c r="T2371" s="18">
        <f t="shared" si="345"/>
        <v>5350</v>
      </c>
      <c r="U2371" s="267">
        <f t="shared" si="346"/>
        <v>6420</v>
      </c>
      <c r="V2371" s="270">
        <f t="shared" si="347"/>
        <v>7483.3333333333339</v>
      </c>
      <c r="W2371" s="66">
        <f t="shared" si="348"/>
        <v>8980</v>
      </c>
      <c r="X2371" s="22"/>
      <c r="Y2371" s="22"/>
      <c r="Z2371" s="22"/>
      <c r="AA2371" s="22"/>
      <c r="AB2371" s="22"/>
      <c r="AC2371" s="331">
        <v>4610</v>
      </c>
      <c r="AD2371" s="331">
        <v>6450</v>
      </c>
      <c r="AE2371" s="331">
        <v>5300</v>
      </c>
      <c r="AF2371" s="331">
        <v>7430</v>
      </c>
      <c r="AG2371" s="331">
        <v>5550</v>
      </c>
      <c r="AH2371" s="331">
        <v>7770</v>
      </c>
      <c r="AI2371" s="331">
        <v>5920</v>
      </c>
      <c r="AJ2371" s="331">
        <v>8290</v>
      </c>
      <c r="AK2371" s="331">
        <v>6420</v>
      </c>
      <c r="AL2371" s="331">
        <v>8980</v>
      </c>
      <c r="AM2371" s="333">
        <v>4610</v>
      </c>
      <c r="AN2371" s="309">
        <f t="shared" si="349"/>
        <v>0</v>
      </c>
      <c r="AO2371" s="333">
        <v>6450</v>
      </c>
      <c r="AP2371" s="397">
        <f t="shared" si="350"/>
        <v>0</v>
      </c>
      <c r="AQ2371" s="333">
        <v>5300</v>
      </c>
      <c r="AR2371" s="333">
        <f t="shared" si="351"/>
        <v>0</v>
      </c>
      <c r="AS2371" s="333">
        <v>7430</v>
      </c>
      <c r="AT2371" s="333">
        <f t="shared" si="352"/>
        <v>0</v>
      </c>
      <c r="AU2371" s="333">
        <v>5550</v>
      </c>
      <c r="AV2371" s="333">
        <f t="shared" si="353"/>
        <v>0</v>
      </c>
      <c r="AW2371" s="333">
        <v>7770</v>
      </c>
    </row>
    <row r="2372" spans="1:49">
      <c r="A2372" s="8"/>
      <c r="B2372" s="23" t="str">
        <f>IF($C$1="ENG","I (240 - 260 mm)","I (240 - 260 мм)")</f>
        <v>I (240 - 260 мм)</v>
      </c>
      <c r="C2372" s="431"/>
      <c r="D2372" s="25">
        <f t="shared" si="329"/>
        <v>4000</v>
      </c>
      <c r="E2372" s="268">
        <f t="shared" si="330"/>
        <v>4800</v>
      </c>
      <c r="F2372" s="271">
        <f t="shared" si="331"/>
        <v>5608.3333333333339</v>
      </c>
      <c r="G2372" s="69">
        <f t="shared" si="332"/>
        <v>6730.0000000000009</v>
      </c>
      <c r="H2372" s="25">
        <f t="shared" si="333"/>
        <v>4608.3333333333339</v>
      </c>
      <c r="I2372" s="268">
        <f t="shared" si="334"/>
        <v>5530.0000000000009</v>
      </c>
      <c r="J2372" s="271">
        <f t="shared" si="335"/>
        <v>6450</v>
      </c>
      <c r="K2372" s="69">
        <f t="shared" si="336"/>
        <v>7740</v>
      </c>
      <c r="L2372" s="25">
        <f t="shared" si="337"/>
        <v>4791.666666666667</v>
      </c>
      <c r="M2372" s="268">
        <f t="shared" si="338"/>
        <v>5750</v>
      </c>
      <c r="N2372" s="271">
        <f t="shared" si="339"/>
        <v>6716.666666666667</v>
      </c>
      <c r="O2372" s="69">
        <f t="shared" si="340"/>
        <v>8060</v>
      </c>
      <c r="P2372" s="25">
        <f t="shared" si="341"/>
        <v>5133.3333333333339</v>
      </c>
      <c r="Q2372" s="268">
        <f t="shared" si="342"/>
        <v>6160.0000000000009</v>
      </c>
      <c r="R2372" s="271">
        <f t="shared" si="343"/>
        <v>7183.3333333333339</v>
      </c>
      <c r="S2372" s="69">
        <f t="shared" si="344"/>
        <v>8620</v>
      </c>
      <c r="T2372" s="25">
        <f t="shared" si="345"/>
        <v>5566.666666666667</v>
      </c>
      <c r="U2372" s="268">
        <f t="shared" si="346"/>
        <v>6680</v>
      </c>
      <c r="V2372" s="271">
        <f t="shared" si="347"/>
        <v>7791.666666666667</v>
      </c>
      <c r="W2372" s="69">
        <f t="shared" si="348"/>
        <v>9350</v>
      </c>
      <c r="X2372" s="22"/>
      <c r="Y2372" s="22"/>
      <c r="Z2372" s="22"/>
      <c r="AA2372" s="22"/>
      <c r="AB2372" s="22"/>
      <c r="AC2372" s="331">
        <v>4800</v>
      </c>
      <c r="AD2372" s="331">
        <v>6730</v>
      </c>
      <c r="AE2372" s="331">
        <v>5530</v>
      </c>
      <c r="AF2372" s="331">
        <v>7740</v>
      </c>
      <c r="AG2372" s="331">
        <v>5750</v>
      </c>
      <c r="AH2372" s="331">
        <v>8060</v>
      </c>
      <c r="AI2372" s="331">
        <v>6160</v>
      </c>
      <c r="AJ2372" s="331">
        <v>8620</v>
      </c>
      <c r="AK2372" s="331">
        <v>6680</v>
      </c>
      <c r="AL2372" s="331">
        <v>9350</v>
      </c>
      <c r="AM2372" s="333">
        <v>4800</v>
      </c>
      <c r="AN2372" s="309">
        <f t="shared" si="349"/>
        <v>0</v>
      </c>
      <c r="AO2372" s="333">
        <v>6730</v>
      </c>
      <c r="AP2372" s="397">
        <f t="shared" si="350"/>
        <v>0</v>
      </c>
      <c r="AQ2372" s="333">
        <v>5530</v>
      </c>
      <c r="AR2372" s="333">
        <f t="shared" si="351"/>
        <v>0</v>
      </c>
      <c r="AS2372" s="333">
        <v>7740</v>
      </c>
      <c r="AT2372" s="333">
        <f t="shared" si="352"/>
        <v>0</v>
      </c>
      <c r="AU2372" s="333">
        <v>5750</v>
      </c>
      <c r="AV2372" s="333">
        <f t="shared" si="353"/>
        <v>0</v>
      </c>
      <c r="AW2372" s="333">
        <v>8060</v>
      </c>
    </row>
    <row r="2373" spans="1:49">
      <c r="C2373" s="244"/>
      <c r="D2373" s="26"/>
      <c r="E2373" s="57"/>
      <c r="F2373" s="26"/>
      <c r="G2373" s="57"/>
      <c r="H2373" s="5"/>
      <c r="K2373" s="20"/>
      <c r="L2373" s="48"/>
      <c r="M2373" s="105"/>
      <c r="N2373" s="48"/>
      <c r="O2373" s="48"/>
      <c r="P2373" s="48"/>
      <c r="Q2373" s="105"/>
      <c r="R2373" s="48"/>
      <c r="S2373" s="48"/>
      <c r="U2373" s="20"/>
      <c r="W2373" s="20"/>
      <c r="AO2373" s="386"/>
      <c r="AP2373" s="386"/>
      <c r="AQ2373" s="386"/>
      <c r="AR2373" s="386"/>
      <c r="AS2373" s="386"/>
      <c r="AT2373" s="386"/>
      <c r="AU2373" s="386"/>
      <c r="AV2373" s="386"/>
    </row>
    <row r="2374" spans="1:49">
      <c r="B2374" s="211" t="str">
        <f>IF($C$1="ENG","For additonal charge:","Послуги за додаткову плату:")</f>
        <v>Послуги за додаткову плату:</v>
      </c>
      <c r="C2374" s="419"/>
      <c r="D2374" s="212"/>
      <c r="E2374" s="213"/>
      <c r="F2374" s="39"/>
      <c r="G2374" s="39"/>
      <c r="H2374" s="10"/>
      <c r="I2374" s="83"/>
      <c r="J2374" s="8"/>
      <c r="K2374" s="8"/>
      <c r="L2374" s="104"/>
      <c r="N2374" s="104"/>
      <c r="P2374" s="104"/>
      <c r="R2374" s="104"/>
      <c r="U2374" s="20"/>
      <c r="W2374" s="20"/>
    </row>
    <row r="2375" spans="1:49" ht="5.0999999999999996" customHeight="1">
      <c r="B2375" s="27"/>
      <c r="C2375" s="244"/>
      <c r="D2375" s="26"/>
      <c r="E2375" s="57"/>
      <c r="F2375" s="26"/>
      <c r="G2375" s="26"/>
      <c r="H2375" s="10"/>
      <c r="I2375" s="8"/>
      <c r="J2375" s="8"/>
      <c r="K2375" s="8"/>
      <c r="U2375" s="20"/>
      <c r="W2375" s="20"/>
    </row>
    <row r="2376" spans="1:49">
      <c r="B2376" s="568" t="str">
        <f>IF($C$1="ENG","third door hindge","третя завіса")</f>
        <v>третя завіса</v>
      </c>
      <c r="C2376" s="569"/>
      <c r="D2376" s="51">
        <f>IF(AC2376="","",(1-$W$2)*(AC2376/1.2))</f>
        <v>66.666666666666671</v>
      </c>
      <c r="E2376" s="84">
        <f>IF($W$5=0.2,D2376*1.2,D2376)/$W$4</f>
        <v>80</v>
      </c>
      <c r="F2376" s="26"/>
      <c r="G2376" s="26"/>
      <c r="H2376" s="10"/>
      <c r="I2376" s="83"/>
      <c r="J2376" s="8"/>
      <c r="K2376" s="83"/>
      <c r="U2376" s="20"/>
      <c r="W2376" s="20"/>
      <c r="AC2376" s="297">
        <v>80</v>
      </c>
      <c r="AD2376" s="288"/>
      <c r="AE2376" s="288"/>
      <c r="AF2376" s="288"/>
      <c r="AG2376" s="288"/>
      <c r="AH2376" s="288"/>
      <c r="AI2376" s="288"/>
      <c r="AJ2376" s="288"/>
      <c r="AK2376" s="288"/>
      <c r="AL2376" s="288"/>
    </row>
    <row r="2377" spans="1:49" ht="14.25" customHeight="1">
      <c r="T2377" s="570" t="str">
        <f>IF($C$1="ENG",CONCATENATE("down to: ",B2427),CONCATENATE("вниз до: ",B2427))</f>
        <v>вниз до: Дверна коробка Verto-FIT Comfort</v>
      </c>
      <c r="U2377" s="570"/>
      <c r="V2377" s="570"/>
      <c r="W2377" s="570"/>
    </row>
    <row r="2378" spans="1:49" ht="14.25" customHeight="1">
      <c r="C2378" s="244"/>
      <c r="D2378" s="26"/>
      <c r="E2378" s="26"/>
      <c r="F2378" s="26"/>
      <c r="G2378" s="57"/>
      <c r="H2378" s="5"/>
      <c r="K2378" s="83"/>
      <c r="L2378" s="278"/>
      <c r="O2378" s="57"/>
      <c r="P2378" s="278"/>
      <c r="S2378" s="57"/>
      <c r="T2378" s="278"/>
      <c r="W2378" s="57"/>
      <c r="X2378" s="278"/>
      <c r="Y2378" s="278"/>
      <c r="Z2378" s="278"/>
      <c r="AA2378" s="278"/>
      <c r="AB2378" s="278"/>
    </row>
    <row r="2379" spans="1:49" ht="14.25" customHeight="1">
      <c r="C2379" s="244"/>
      <c r="D2379" s="26"/>
      <c r="E2379" s="26"/>
      <c r="F2379" s="26"/>
      <c r="G2379" s="57"/>
      <c r="H2379" s="278"/>
      <c r="K2379" s="57"/>
      <c r="L2379" s="244"/>
      <c r="M2379" s="245"/>
      <c r="N2379" s="244"/>
      <c r="O2379" s="244"/>
      <c r="P2379" s="244"/>
      <c r="Q2379" s="245"/>
      <c r="R2379" s="244"/>
      <c r="S2379" s="244"/>
      <c r="T2379" s="244"/>
      <c r="U2379" s="245"/>
      <c r="V2379" s="244"/>
      <c r="W2379" s="244"/>
    </row>
    <row r="2380" spans="1:49" ht="14.25" customHeight="1">
      <c r="C2380" s="244"/>
      <c r="D2380" s="244"/>
      <c r="E2380" s="244"/>
      <c r="F2380" s="244"/>
      <c r="G2380" s="248"/>
      <c r="H2380" s="244"/>
      <c r="I2380" s="245"/>
      <c r="J2380" s="244"/>
      <c r="K2380" s="244"/>
      <c r="L2380" s="244"/>
      <c r="M2380" s="244"/>
      <c r="N2380" s="244"/>
      <c r="O2380" s="244"/>
      <c r="P2380" s="244"/>
      <c r="Q2380" s="244"/>
      <c r="R2380" s="244"/>
      <c r="S2380" s="244"/>
      <c r="T2380" s="244"/>
      <c r="U2380" s="244"/>
      <c r="V2380" s="244"/>
      <c r="W2380" s="244"/>
    </row>
    <row r="2381" spans="1:49" ht="14.25" customHeight="1">
      <c r="C2381" s="244"/>
      <c r="D2381" s="244"/>
      <c r="E2381" s="244"/>
      <c r="F2381" s="244"/>
      <c r="G2381" s="244"/>
      <c r="H2381" s="244"/>
      <c r="I2381" s="244"/>
      <c r="J2381" s="244"/>
      <c r="K2381" s="244"/>
    </row>
    <row r="2382" spans="1:49" ht="14.25" customHeight="1">
      <c r="C2382" s="244"/>
      <c r="D2382" s="26"/>
      <c r="E2382" s="26"/>
      <c r="F2382" s="26"/>
      <c r="G2382" s="26"/>
      <c r="H2382" s="5"/>
    </row>
    <row r="2383" spans="1:49" ht="14.25" customHeight="1">
      <c r="C2383" s="244"/>
      <c r="D2383" s="26"/>
      <c r="E2383" s="26"/>
      <c r="F2383" s="26"/>
      <c r="G2383" s="26"/>
      <c r="H2383" s="5"/>
    </row>
    <row r="2384" spans="1:49" ht="14.25" customHeight="1">
      <c r="C2384" s="244"/>
      <c r="D2384" s="26"/>
      <c r="E2384" s="26"/>
      <c r="F2384" s="26"/>
      <c r="G2384" s="26"/>
      <c r="H2384" s="5"/>
    </row>
    <row r="2385" spans="3:8" ht="14.25" customHeight="1">
      <c r="C2385" s="244"/>
      <c r="D2385" s="26"/>
      <c r="E2385" s="26"/>
      <c r="F2385" s="26"/>
      <c r="G2385" s="26"/>
      <c r="H2385" s="5"/>
    </row>
    <row r="2386" spans="3:8" ht="14.25" customHeight="1">
      <c r="C2386" s="244"/>
      <c r="D2386" s="26"/>
      <c r="E2386" s="26"/>
      <c r="F2386" s="26"/>
      <c r="G2386" s="26"/>
      <c r="H2386" s="5"/>
    </row>
    <row r="2387" spans="3:8" ht="14.25" customHeight="1">
      <c r="C2387" s="244"/>
      <c r="D2387" s="26"/>
      <c r="E2387" s="26"/>
      <c r="F2387" s="26"/>
      <c r="G2387" s="26"/>
      <c r="H2387" s="5"/>
    </row>
    <row r="2388" spans="3:8" ht="14.25" customHeight="1">
      <c r="C2388" s="244"/>
      <c r="D2388" s="26"/>
      <c r="E2388" s="26"/>
      <c r="F2388" s="26"/>
      <c r="G2388" s="26"/>
      <c r="H2388" s="5"/>
    </row>
    <row r="2389" spans="3:8" ht="14.25" customHeight="1">
      <c r="C2389" s="244"/>
      <c r="D2389" s="26"/>
      <c r="E2389" s="26"/>
      <c r="F2389" s="26"/>
      <c r="G2389" s="26"/>
      <c r="H2389" s="5"/>
    </row>
    <row r="2390" spans="3:8" ht="14.25" customHeight="1">
      <c r="C2390" s="244"/>
      <c r="D2390" s="26"/>
      <c r="E2390" s="26"/>
      <c r="F2390" s="26"/>
      <c r="G2390" s="26"/>
      <c r="H2390" s="5"/>
    </row>
    <row r="2391" spans="3:8" ht="14.25" customHeight="1">
      <c r="C2391" s="244"/>
      <c r="D2391" s="26"/>
      <c r="E2391" s="26"/>
      <c r="F2391" s="26"/>
      <c r="G2391" s="26"/>
      <c r="H2391" s="5"/>
    </row>
    <row r="2392" spans="3:8" ht="14.25" customHeight="1">
      <c r="C2392" s="244"/>
      <c r="D2392" s="26"/>
      <c r="E2392" s="26"/>
      <c r="F2392" s="26"/>
      <c r="G2392" s="26"/>
      <c r="H2392" s="5"/>
    </row>
    <row r="2393" spans="3:8" ht="14.25" customHeight="1">
      <c r="C2393" s="244"/>
      <c r="D2393" s="26"/>
      <c r="E2393" s="26"/>
      <c r="F2393" s="26"/>
      <c r="G2393" s="26"/>
      <c r="H2393" s="5"/>
    </row>
    <row r="2394" spans="3:8" ht="14.25" customHeight="1">
      <c r="C2394" s="244"/>
      <c r="D2394" s="26"/>
      <c r="E2394" s="26"/>
      <c r="F2394" s="26"/>
      <c r="G2394" s="26"/>
      <c r="H2394" s="5"/>
    </row>
    <row r="2395" spans="3:8" ht="14.25" customHeight="1">
      <c r="C2395" s="244"/>
      <c r="D2395" s="26"/>
      <c r="E2395" s="26"/>
      <c r="F2395" s="26"/>
      <c r="G2395" s="26"/>
      <c r="H2395" s="5"/>
    </row>
    <row r="2396" spans="3:8" ht="14.25" customHeight="1">
      <c r="C2396" s="244"/>
      <c r="D2396" s="26"/>
      <c r="E2396" s="26"/>
      <c r="F2396" s="26"/>
      <c r="G2396" s="26"/>
      <c r="H2396" s="5"/>
    </row>
    <row r="2397" spans="3:8" ht="14.25" customHeight="1">
      <c r="C2397" s="244"/>
      <c r="D2397" s="26"/>
      <c r="E2397" s="26"/>
      <c r="F2397" s="26"/>
      <c r="G2397" s="26"/>
      <c r="H2397" s="5"/>
    </row>
    <row r="2398" spans="3:8" ht="14.25" customHeight="1">
      <c r="C2398" s="244"/>
      <c r="D2398" s="26"/>
      <c r="E2398" s="26"/>
      <c r="F2398" s="26"/>
      <c r="G2398" s="26"/>
      <c r="H2398" s="5"/>
    </row>
    <row r="2399" spans="3:8" ht="14.25" customHeight="1">
      <c r="C2399" s="244"/>
      <c r="D2399" s="26"/>
      <c r="E2399" s="26"/>
      <c r="F2399" s="26"/>
      <c r="G2399" s="26"/>
      <c r="H2399" s="5"/>
    </row>
    <row r="2400" spans="3:8" ht="14.25" customHeight="1">
      <c r="C2400" s="244"/>
      <c r="D2400" s="26"/>
      <c r="E2400" s="26"/>
      <c r="F2400" s="26"/>
      <c r="G2400" s="26"/>
      <c r="H2400" s="5"/>
    </row>
    <row r="2401" spans="3:8" ht="14.25" customHeight="1">
      <c r="C2401" s="244"/>
      <c r="D2401" s="26"/>
      <c r="E2401" s="26"/>
      <c r="F2401" s="26"/>
      <c r="G2401" s="26"/>
      <c r="H2401" s="5"/>
    </row>
    <row r="2402" spans="3:8" ht="14.25" customHeight="1">
      <c r="C2402" s="244"/>
      <c r="D2402" s="26"/>
      <c r="E2402" s="26"/>
      <c r="F2402" s="26"/>
      <c r="G2402" s="26"/>
      <c r="H2402" s="5"/>
    </row>
    <row r="2403" spans="3:8" ht="14.25" customHeight="1">
      <c r="C2403" s="244"/>
      <c r="D2403" s="26"/>
      <c r="E2403" s="26"/>
      <c r="F2403" s="26"/>
      <c r="G2403" s="26"/>
      <c r="H2403" s="5"/>
    </row>
    <row r="2404" spans="3:8" ht="14.25" customHeight="1">
      <c r="C2404" s="244"/>
      <c r="D2404" s="26"/>
      <c r="E2404" s="26"/>
      <c r="F2404" s="26"/>
      <c r="G2404" s="26"/>
      <c r="H2404" s="5"/>
    </row>
    <row r="2405" spans="3:8" ht="14.25" customHeight="1">
      <c r="C2405" s="244"/>
      <c r="D2405" s="26"/>
      <c r="E2405" s="26"/>
      <c r="F2405" s="26"/>
      <c r="G2405" s="26"/>
      <c r="H2405" s="5"/>
    </row>
    <row r="2406" spans="3:8" ht="14.25" customHeight="1">
      <c r="C2406" s="244"/>
      <c r="D2406" s="26"/>
      <c r="E2406" s="26"/>
      <c r="F2406" s="26"/>
      <c r="G2406" s="26"/>
      <c r="H2406" s="5"/>
    </row>
    <row r="2407" spans="3:8" ht="14.25" customHeight="1">
      <c r="C2407" s="244"/>
      <c r="D2407" s="26"/>
      <c r="E2407" s="26"/>
      <c r="F2407" s="26"/>
      <c r="G2407" s="26"/>
      <c r="H2407" s="5"/>
    </row>
    <row r="2408" spans="3:8" ht="14.25" customHeight="1">
      <c r="C2408" s="244"/>
      <c r="D2408" s="26"/>
      <c r="E2408" s="26"/>
      <c r="F2408" s="26"/>
      <c r="G2408" s="26"/>
      <c r="H2408" s="5"/>
    </row>
    <row r="2409" spans="3:8" ht="14.25" customHeight="1">
      <c r="C2409" s="244"/>
      <c r="D2409" s="26"/>
      <c r="E2409" s="26"/>
      <c r="F2409" s="26"/>
      <c r="G2409" s="26"/>
      <c r="H2409" s="5"/>
    </row>
    <row r="2410" spans="3:8" ht="14.25" customHeight="1">
      <c r="C2410" s="244"/>
      <c r="D2410" s="26"/>
      <c r="E2410" s="26"/>
      <c r="F2410" s="26"/>
      <c r="G2410" s="26"/>
      <c r="H2410" s="5"/>
    </row>
    <row r="2411" spans="3:8" ht="14.25" customHeight="1">
      <c r="C2411" s="244"/>
      <c r="D2411" s="26"/>
      <c r="E2411" s="26"/>
      <c r="F2411" s="26"/>
      <c r="G2411" s="26"/>
      <c r="H2411" s="5"/>
    </row>
    <row r="2412" spans="3:8" ht="14.25" customHeight="1">
      <c r="C2412" s="244"/>
      <c r="D2412" s="26"/>
      <c r="E2412" s="26"/>
      <c r="F2412" s="26"/>
      <c r="G2412" s="26"/>
      <c r="H2412" s="5"/>
    </row>
    <row r="2413" spans="3:8" ht="14.25" customHeight="1">
      <c r="C2413" s="244"/>
      <c r="D2413" s="26"/>
      <c r="E2413" s="26"/>
      <c r="F2413" s="26"/>
      <c r="G2413" s="26"/>
      <c r="H2413" s="5"/>
    </row>
    <row r="2414" spans="3:8" ht="14.25" customHeight="1">
      <c r="C2414" s="244"/>
      <c r="D2414" s="26"/>
      <c r="E2414" s="26"/>
      <c r="F2414" s="26"/>
      <c r="G2414" s="26"/>
      <c r="H2414" s="5"/>
    </row>
    <row r="2415" spans="3:8" ht="14.25" customHeight="1">
      <c r="C2415" s="244"/>
      <c r="D2415" s="26"/>
      <c r="E2415" s="26"/>
      <c r="F2415" s="26"/>
      <c r="G2415" s="26"/>
      <c r="H2415" s="5"/>
    </row>
    <row r="2416" spans="3:8" ht="14.25" customHeight="1">
      <c r="C2416" s="244"/>
      <c r="D2416" s="26"/>
      <c r="E2416" s="26"/>
      <c r="F2416" s="26"/>
      <c r="G2416" s="26"/>
      <c r="H2416" s="5"/>
    </row>
    <row r="2417" spans="1:49" ht="14.25" customHeight="1">
      <c r="C2417" s="244"/>
      <c r="D2417" s="26"/>
      <c r="E2417" s="26"/>
      <c r="F2417" s="26"/>
      <c r="G2417" s="26"/>
      <c r="H2417" s="5"/>
    </row>
    <row r="2418" spans="1:49" ht="14.25" customHeight="1">
      <c r="C2418" s="244"/>
      <c r="D2418" s="26"/>
      <c r="E2418" s="26"/>
      <c r="F2418" s="26"/>
      <c r="G2418" s="26"/>
      <c r="H2418" s="5"/>
    </row>
    <row r="2419" spans="1:49" ht="14.25" customHeight="1">
      <c r="C2419" s="244"/>
      <c r="D2419" s="26"/>
      <c r="E2419" s="26"/>
      <c r="F2419" s="26"/>
      <c r="G2419" s="26"/>
      <c r="H2419" s="5"/>
    </row>
    <row r="2420" spans="1:49" ht="14.25" customHeight="1">
      <c r="C2420" s="244"/>
      <c r="D2420" s="26"/>
      <c r="E2420" s="26"/>
      <c r="F2420" s="26"/>
      <c r="G2420" s="26"/>
      <c r="H2420" s="5"/>
      <c r="AF2420" s="8"/>
      <c r="AH2420" s="8"/>
    </row>
    <row r="2421" spans="1:49" ht="14.25" customHeight="1">
      <c r="C2421" s="244"/>
      <c r="D2421" s="26"/>
      <c r="E2421" s="26"/>
      <c r="F2421" s="26"/>
      <c r="G2421" s="26"/>
      <c r="H2421" s="5"/>
    </row>
    <row r="2422" spans="1:49" ht="14.25" customHeight="1">
      <c r="C2422" s="244"/>
      <c r="D2422" s="26"/>
      <c r="E2422" s="26"/>
      <c r="F2422" s="26"/>
      <c r="G2422" s="26"/>
      <c r="H2422" s="5"/>
    </row>
    <row r="2423" spans="1:49" ht="14.25" customHeight="1">
      <c r="C2423" s="244"/>
      <c r="D2423" s="26"/>
      <c r="E2423" s="26"/>
      <c r="F2423" s="26"/>
      <c r="G2423" s="26"/>
      <c r="H2423" s="5"/>
    </row>
    <row r="2424" spans="1:49" ht="14.25" customHeight="1">
      <c r="C2424" s="244"/>
      <c r="D2424" s="26"/>
      <c r="E2424" s="26"/>
      <c r="F2424" s="26"/>
      <c r="G2424" s="26"/>
      <c r="H2424" s="5"/>
    </row>
    <row r="2425" spans="1:49" ht="14.25" customHeight="1">
      <c r="C2425" s="244"/>
      <c r="D2425" s="26"/>
      <c r="E2425" s="26"/>
      <c r="F2425" s="26"/>
      <c r="G2425" s="26"/>
      <c r="H2425" s="5"/>
    </row>
    <row r="2426" spans="1:49" ht="14.25" customHeight="1">
      <c r="C2426" s="244"/>
      <c r="D2426" s="26"/>
      <c r="E2426" s="26"/>
      <c r="F2426" s="26"/>
      <c r="G2426" s="26"/>
      <c r="H2426" s="5"/>
    </row>
    <row r="2427" spans="1:49" s="8" customFormat="1">
      <c r="B2427" s="549" t="str">
        <f>TITLE!$C$44</f>
        <v>Дверна коробка Verto-FIT Comfort</v>
      </c>
      <c r="C2427" s="550"/>
      <c r="D2427" s="117"/>
      <c r="E2427" s="551" t="str">
        <f>E2251</f>
        <v>Для Дверних Полотен без Фальця</v>
      </c>
      <c r="F2427" s="551"/>
      <c r="G2427" s="551"/>
      <c r="H2427" s="551"/>
      <c r="I2427" s="551"/>
      <c r="J2427" s="551"/>
      <c r="K2427" s="551"/>
      <c r="L2427" s="552"/>
      <c r="M2427" s="552"/>
      <c r="N2427" s="552"/>
      <c r="O2427" s="552"/>
      <c r="P2427" s="552"/>
      <c r="Q2427" s="552"/>
      <c r="R2427" s="552"/>
      <c r="S2427" s="552"/>
      <c r="T2427" s="545" t="str">
        <f>IF($C$1="ENG",CONCATENATE("up to: ",B2359),CONCATENATE("вгору до: ",B2359))</f>
        <v>вгору до: Дверна коробка Verto-FIT Plus</v>
      </c>
      <c r="U2427" s="545"/>
      <c r="V2427" s="545"/>
      <c r="W2427" s="545"/>
      <c r="AC2427" s="1"/>
      <c r="AE2427" s="1"/>
      <c r="AF2427" s="1"/>
      <c r="AG2427" s="1"/>
      <c r="AI2427" s="1"/>
      <c r="AK2427" s="1"/>
      <c r="AN2427" s="279"/>
      <c r="AO2427" s="279"/>
      <c r="AP2427" s="279"/>
      <c r="AQ2427" s="279"/>
      <c r="AR2427" s="279"/>
      <c r="AS2427" s="279"/>
      <c r="AT2427" s="279"/>
    </row>
    <row r="2428" spans="1:49" s="8" customFormat="1" ht="5.0999999999999996" customHeight="1">
      <c r="C2428" s="422"/>
      <c r="T2428" s="115"/>
      <c r="U2428" s="115"/>
      <c r="V2428" s="115"/>
      <c r="W2428" s="115"/>
      <c r="AN2428" s="279"/>
      <c r="AO2428" s="279"/>
      <c r="AP2428" s="279"/>
      <c r="AQ2428" s="279"/>
      <c r="AR2428" s="279"/>
      <c r="AS2428" s="279"/>
      <c r="AT2428" s="279"/>
    </row>
    <row r="2429" spans="1:49" ht="12.75" customHeight="1">
      <c r="A2429" s="8"/>
      <c r="B2429" s="306" t="str">
        <f>IF($C$1="ENG","model","модель")</f>
        <v>модель</v>
      </c>
      <c r="C2429" s="121" t="str">
        <f>IF($C$1="ENG","cover:","покриття:")</f>
        <v>покриття:</v>
      </c>
      <c r="D2429" s="538" t="str">
        <f>IF($C$1="ENG","SIMPLEX / VERTO-CELL","SIMPLEX / VERTO-CELL ")</f>
        <v xml:space="preserve">SIMPLEX / VERTO-CELL </v>
      </c>
      <c r="E2429" s="553"/>
      <c r="F2429" s="553"/>
      <c r="G2429" s="539"/>
      <c r="H2429" s="538" t="str">
        <f>IF($C$1="ENG","UNI-MAT","UNI-MAT")</f>
        <v>UNI-MAT</v>
      </c>
      <c r="I2429" s="553"/>
      <c r="J2429" s="553"/>
      <c r="K2429" s="539"/>
      <c r="L2429" s="538" t="str">
        <f>IF($C$1="ENG","RESIST","RESIST")</f>
        <v>RESIST</v>
      </c>
      <c r="M2429" s="553"/>
      <c r="N2429" s="553"/>
      <c r="O2429" s="539"/>
      <c r="P2429" s="538" t="str">
        <f>IF($C$1="ENG","Verto LINE-3D","Verto LINE-3D")</f>
        <v>Verto LINE-3D</v>
      </c>
      <c r="Q2429" s="553"/>
      <c r="R2429" s="553"/>
      <c r="S2429" s="539"/>
      <c r="T2429" s="538" t="str">
        <f>IF($C$1="ENG","ECO Shpon / LOFT","ЕКО Шпон / LOFT")</f>
        <v>ЕКО Шпон / LOFT</v>
      </c>
      <c r="U2429" s="553"/>
      <c r="V2429" s="553"/>
      <c r="W2429" s="539"/>
      <c r="AO2429" s="382">
        <v>0.15</v>
      </c>
    </row>
    <row r="2430" spans="1:49" ht="12.75" customHeight="1">
      <c r="A2430" s="8"/>
      <c r="B2430" s="307"/>
      <c r="C2430" s="123" t="str">
        <f>IF($C$1="ENG","type:","виконання:")</f>
        <v>виконання:</v>
      </c>
      <c r="D2430" s="542" t="str">
        <f>IF($C$1="ENG","single leaf","одностулкове")</f>
        <v>одностулкове</v>
      </c>
      <c r="E2430" s="547"/>
      <c r="F2430" s="443"/>
      <c r="G2430" s="442"/>
      <c r="H2430" s="542" t="str">
        <f>IF($C$1="ENG","single leaf","одностулкове")</f>
        <v>одностулкове</v>
      </c>
      <c r="I2430" s="547"/>
      <c r="J2430" s="443"/>
      <c r="K2430" s="442"/>
      <c r="L2430" s="542" t="str">
        <f>IF($C$1="ENG","single leaf","одностулкове")</f>
        <v>одностулкове</v>
      </c>
      <c r="M2430" s="547"/>
      <c r="N2430" s="548"/>
      <c r="O2430" s="543"/>
      <c r="P2430" s="542" t="str">
        <f>IF($C$1="ENG","single leaf","одностулкове")</f>
        <v>одностулкове</v>
      </c>
      <c r="Q2430" s="547"/>
      <c r="R2430" s="548"/>
      <c r="S2430" s="543"/>
      <c r="T2430" s="542" t="str">
        <f>IF($C$1="ENG","single leaf","одностулкове")</f>
        <v>одностулкове</v>
      </c>
      <c r="U2430" s="547"/>
      <c r="V2430" s="548"/>
      <c r="W2430" s="543"/>
    </row>
    <row r="2431" spans="1:49" ht="12.75" customHeight="1">
      <c r="A2431" s="8"/>
      <c r="B2431" s="13" t="str">
        <f>IF($C$1="ENG","A (75 - 95 mm)","A (75 - 95 мм)")</f>
        <v>A (75 - 95 мм)</v>
      </c>
      <c r="C2431" s="445"/>
      <c r="D2431" s="15">
        <f t="shared" ref="D2431:D2440" si="354">IF(AC2431="","",(1-$W$2)*(AC2431/1.2))</f>
        <v>2975</v>
      </c>
      <c r="E2431" s="266">
        <f t="shared" ref="E2431:E2440" si="355">IF($W$5=0.2,D2431*1.2,D2431)/$W$4</f>
        <v>3570</v>
      </c>
      <c r="F2431" s="269"/>
      <c r="G2431" s="64"/>
      <c r="H2431" s="15">
        <f t="shared" ref="H2431:H2440" si="356">IF(AE2431="","",(1-$W$2)*(AE2431/1.2))</f>
        <v>3416.666666666667</v>
      </c>
      <c r="I2431" s="266">
        <f t="shared" ref="I2431:I2440" si="357">IF($W$5=0.2,H2431*1.2,H2431)/$W$4</f>
        <v>4100</v>
      </c>
      <c r="J2431" s="269"/>
      <c r="K2431" s="64"/>
      <c r="L2431" s="15">
        <f t="shared" ref="L2431:L2440" si="358">IF(AG2431="","",(1-$W$2)*(AG2431/1.2))</f>
        <v>3600</v>
      </c>
      <c r="M2431" s="266">
        <f t="shared" ref="M2431:M2440" si="359">IF($W$5=0.2,L2431*1.2,L2431)/$W$4</f>
        <v>4320</v>
      </c>
      <c r="N2431" s="269"/>
      <c r="O2431" s="64"/>
      <c r="P2431" s="15">
        <f t="shared" ref="P2431:P2440" si="360">IF(AI2431="","",(1-$W$2)*(AI2431/1.2))</f>
        <v>3841.666666666667</v>
      </c>
      <c r="Q2431" s="266">
        <f t="shared" ref="Q2431:Q2440" si="361">IF($W$5=0.2,P2431*1.2,P2431)/$W$4</f>
        <v>4610</v>
      </c>
      <c r="R2431" s="269"/>
      <c r="S2431" s="64"/>
      <c r="T2431" s="15">
        <f t="shared" ref="T2431:T2440" si="362">IF(AK2431="","",(1-$W$2)*(AK2431/1.2))</f>
        <v>4108.3333333333339</v>
      </c>
      <c r="U2431" s="266">
        <f t="shared" ref="U2431:U2440" si="363">IF($W$5=0.2,T2431*1.2,T2431)/$W$4</f>
        <v>4930.0000000000009</v>
      </c>
      <c r="V2431" s="269"/>
      <c r="W2431" s="64"/>
      <c r="X2431" s="22"/>
      <c r="Y2431" s="22"/>
      <c r="Z2431" s="22"/>
      <c r="AA2431" s="22"/>
      <c r="AB2431" s="22"/>
      <c r="AC2431" s="331">
        <v>3570</v>
      </c>
      <c r="AD2431" s="331"/>
      <c r="AE2431" s="331">
        <v>4100</v>
      </c>
      <c r="AF2431" s="331"/>
      <c r="AG2431" s="331">
        <v>4320</v>
      </c>
      <c r="AH2431" s="331"/>
      <c r="AI2431" s="331">
        <v>4610</v>
      </c>
      <c r="AJ2431" s="331"/>
      <c r="AK2431" s="331">
        <v>4930</v>
      </c>
      <c r="AL2431" s="288"/>
      <c r="AM2431" s="385">
        <v>3570</v>
      </c>
      <c r="AN2431" s="309">
        <f>AM2431/AC2431-1</f>
        <v>0</v>
      </c>
      <c r="AO2431" s="385">
        <f>AD2431/100*13+AD2431</f>
        <v>0</v>
      </c>
      <c r="AP2431" s="30" t="e">
        <f>AO2431/AD2431-1</f>
        <v>#DIV/0!</v>
      </c>
      <c r="AQ2431" s="385">
        <v>4101</v>
      </c>
      <c r="AR2431" s="30">
        <f>AQ2431/AE2431-1</f>
        <v>2.4390243902439046E-4</v>
      </c>
      <c r="AS2431" s="385">
        <f>AF2431/100*13+AF2431</f>
        <v>0</v>
      </c>
      <c r="AT2431" s="30" t="e">
        <f>AS2431/AF2431-1</f>
        <v>#DIV/0!</v>
      </c>
      <c r="AU2431" s="385">
        <v>4320</v>
      </c>
      <c r="AV2431" s="1">
        <f>AU2431/AG2431-1</f>
        <v>0</v>
      </c>
      <c r="AW2431" s="1">
        <f>AH2431/100*13+AH2431</f>
        <v>0</v>
      </c>
    </row>
    <row r="2432" spans="1:49">
      <c r="A2432" s="8"/>
      <c r="B2432" s="16" t="str">
        <f>IF($C$1="ENG","B (95 - 115 mm)","B (95 - 115 мм)")</f>
        <v>B (95 - 115 мм)</v>
      </c>
      <c r="C2432" s="430"/>
      <c r="D2432" s="18">
        <f t="shared" si="354"/>
        <v>3116.666666666667</v>
      </c>
      <c r="E2432" s="267">
        <f t="shared" si="355"/>
        <v>3740</v>
      </c>
      <c r="F2432" s="270"/>
      <c r="G2432" s="66"/>
      <c r="H2432" s="18">
        <f t="shared" si="356"/>
        <v>3591.666666666667</v>
      </c>
      <c r="I2432" s="267">
        <f t="shared" si="357"/>
        <v>4310</v>
      </c>
      <c r="J2432" s="270"/>
      <c r="K2432" s="66"/>
      <c r="L2432" s="18">
        <f t="shared" si="358"/>
        <v>3766.666666666667</v>
      </c>
      <c r="M2432" s="267">
        <f t="shared" si="359"/>
        <v>4520</v>
      </c>
      <c r="N2432" s="270"/>
      <c r="O2432" s="66"/>
      <c r="P2432" s="18">
        <f t="shared" si="360"/>
        <v>4033.3333333333335</v>
      </c>
      <c r="Q2432" s="267">
        <f t="shared" si="361"/>
        <v>4840</v>
      </c>
      <c r="R2432" s="270"/>
      <c r="S2432" s="66"/>
      <c r="T2432" s="18">
        <f t="shared" si="362"/>
        <v>4308.3333333333339</v>
      </c>
      <c r="U2432" s="267">
        <f t="shared" si="363"/>
        <v>5170.0000000000009</v>
      </c>
      <c r="V2432" s="270"/>
      <c r="W2432" s="66"/>
      <c r="X2432" s="22"/>
      <c r="Y2432" s="22"/>
      <c r="Z2432" s="22"/>
      <c r="AA2432" s="22"/>
      <c r="AB2432" s="22"/>
      <c r="AC2432" s="331">
        <v>3740</v>
      </c>
      <c r="AD2432" s="331"/>
      <c r="AE2432" s="331">
        <v>4310</v>
      </c>
      <c r="AF2432" s="331"/>
      <c r="AG2432" s="331">
        <v>4520</v>
      </c>
      <c r="AH2432" s="331"/>
      <c r="AI2432" s="331">
        <v>4840</v>
      </c>
      <c r="AJ2432" s="331"/>
      <c r="AK2432" s="331">
        <v>5170</v>
      </c>
      <c r="AL2432" s="288"/>
      <c r="AM2432" s="385">
        <v>3740</v>
      </c>
      <c r="AN2432" s="30">
        <f t="shared" ref="AN2432:AN2440" si="364">AM2432/AC2432-1</f>
        <v>0</v>
      </c>
      <c r="AO2432" s="385">
        <f t="shared" ref="AO2432:AO2440" si="365">AD2432/100*13+AD2432</f>
        <v>0</v>
      </c>
      <c r="AP2432" s="30" t="e">
        <f t="shared" ref="AP2432:AP2440" si="366">AO2432/AD2432-1</f>
        <v>#DIV/0!</v>
      </c>
      <c r="AQ2432" s="385">
        <v>4310</v>
      </c>
      <c r="AR2432" s="30">
        <f t="shared" ref="AR2432:AR2440" si="367">AQ2432/AE2432-1</f>
        <v>0</v>
      </c>
      <c r="AS2432" s="385">
        <f t="shared" ref="AS2432:AS2440" si="368">AF2432/100*13+AF2432</f>
        <v>0</v>
      </c>
      <c r="AT2432" s="30" t="e">
        <f t="shared" ref="AT2432:AT2440" si="369">AS2432/AF2432-1</f>
        <v>#DIV/0!</v>
      </c>
      <c r="AU2432" s="385">
        <v>4520</v>
      </c>
      <c r="AV2432" s="1">
        <f t="shared" ref="AV2432:AV2440" si="370">AU2432/AG2432-1</f>
        <v>0</v>
      </c>
      <c r="AW2432" s="1">
        <f t="shared" ref="AW2432:AW2440" si="371">AH2432/100*13+AH2432</f>
        <v>0</v>
      </c>
    </row>
    <row r="2433" spans="1:49">
      <c r="A2433" s="8"/>
      <c r="B2433" s="16" t="str">
        <f>IF($C$1="ENG","B+ (115 - 135 mm)","B+ (115 - 135 мм)")</f>
        <v>B+ (115 - 135 мм)</v>
      </c>
      <c r="C2433" s="430"/>
      <c r="D2433" s="18">
        <f t="shared" si="354"/>
        <v>3183.3333333333335</v>
      </c>
      <c r="E2433" s="267">
        <f t="shared" si="355"/>
        <v>3820</v>
      </c>
      <c r="F2433" s="270"/>
      <c r="G2433" s="66"/>
      <c r="H2433" s="18">
        <f t="shared" si="356"/>
        <v>3666.666666666667</v>
      </c>
      <c r="I2433" s="267">
        <f t="shared" si="357"/>
        <v>4400</v>
      </c>
      <c r="J2433" s="270"/>
      <c r="K2433" s="66"/>
      <c r="L2433" s="18">
        <f t="shared" si="358"/>
        <v>3858.3333333333335</v>
      </c>
      <c r="M2433" s="267">
        <f t="shared" si="359"/>
        <v>4630</v>
      </c>
      <c r="N2433" s="270"/>
      <c r="O2433" s="66"/>
      <c r="P2433" s="18">
        <f t="shared" si="360"/>
        <v>4125</v>
      </c>
      <c r="Q2433" s="267">
        <f t="shared" si="361"/>
        <v>4950</v>
      </c>
      <c r="R2433" s="270"/>
      <c r="S2433" s="66"/>
      <c r="T2433" s="18">
        <f t="shared" si="362"/>
        <v>4400</v>
      </c>
      <c r="U2433" s="267">
        <f t="shared" si="363"/>
        <v>5280</v>
      </c>
      <c r="V2433" s="270"/>
      <c r="W2433" s="66"/>
      <c r="X2433" s="22"/>
      <c r="Y2433" s="22"/>
      <c r="Z2433" s="22"/>
      <c r="AA2433" s="22"/>
      <c r="AB2433" s="22"/>
      <c r="AC2433" s="331">
        <v>3820</v>
      </c>
      <c r="AD2433" s="331"/>
      <c r="AE2433" s="331">
        <v>4400</v>
      </c>
      <c r="AF2433" s="331"/>
      <c r="AG2433" s="331">
        <v>4630</v>
      </c>
      <c r="AH2433" s="331"/>
      <c r="AI2433" s="331">
        <v>4950</v>
      </c>
      <c r="AJ2433" s="331"/>
      <c r="AK2433" s="331">
        <v>5280</v>
      </c>
      <c r="AL2433" s="288"/>
      <c r="AM2433" s="385">
        <v>3820</v>
      </c>
      <c r="AN2433" s="309">
        <f t="shared" si="364"/>
        <v>0</v>
      </c>
      <c r="AO2433" s="385">
        <f t="shared" si="365"/>
        <v>0</v>
      </c>
      <c r="AP2433" s="309" t="e">
        <f t="shared" si="366"/>
        <v>#DIV/0!</v>
      </c>
      <c r="AQ2433" s="385">
        <v>4400</v>
      </c>
      <c r="AR2433" s="30">
        <f t="shared" si="367"/>
        <v>0</v>
      </c>
      <c r="AS2433" s="385">
        <f t="shared" si="368"/>
        <v>0</v>
      </c>
      <c r="AT2433" s="30" t="e">
        <f t="shared" si="369"/>
        <v>#DIV/0!</v>
      </c>
      <c r="AU2433" s="385">
        <v>4630</v>
      </c>
      <c r="AV2433" s="1">
        <f t="shared" si="370"/>
        <v>0</v>
      </c>
      <c r="AW2433" s="1">
        <f t="shared" si="371"/>
        <v>0</v>
      </c>
    </row>
    <row r="2434" spans="1:49">
      <c r="A2434" s="8"/>
      <c r="B2434" s="16" t="str">
        <f>IF($C$1="ENG","C (120 - 140 mm)","C (120 - 140 мм)")</f>
        <v>C (120 - 140 мм)</v>
      </c>
      <c r="C2434" s="430"/>
      <c r="D2434" s="18">
        <f t="shared" si="354"/>
        <v>3258.3333333333335</v>
      </c>
      <c r="E2434" s="267">
        <f t="shared" si="355"/>
        <v>3910</v>
      </c>
      <c r="F2434" s="270"/>
      <c r="G2434" s="66"/>
      <c r="H2434" s="18">
        <f t="shared" si="356"/>
        <v>3750</v>
      </c>
      <c r="I2434" s="267">
        <f t="shared" si="357"/>
        <v>4500</v>
      </c>
      <c r="J2434" s="270"/>
      <c r="K2434" s="66"/>
      <c r="L2434" s="18">
        <f t="shared" si="358"/>
        <v>3925</v>
      </c>
      <c r="M2434" s="267">
        <f t="shared" si="359"/>
        <v>4710</v>
      </c>
      <c r="N2434" s="270"/>
      <c r="O2434" s="66"/>
      <c r="P2434" s="18">
        <f t="shared" si="360"/>
        <v>4216.666666666667</v>
      </c>
      <c r="Q2434" s="267">
        <f t="shared" si="361"/>
        <v>5060</v>
      </c>
      <c r="R2434" s="270"/>
      <c r="S2434" s="66"/>
      <c r="T2434" s="18">
        <f t="shared" si="362"/>
        <v>4500</v>
      </c>
      <c r="U2434" s="267">
        <f t="shared" si="363"/>
        <v>5400</v>
      </c>
      <c r="V2434" s="270"/>
      <c r="W2434" s="66"/>
      <c r="X2434" s="22"/>
      <c r="Y2434" s="22"/>
      <c r="Z2434" s="22"/>
      <c r="AA2434" s="22"/>
      <c r="AB2434" s="22"/>
      <c r="AC2434" s="331">
        <v>3910</v>
      </c>
      <c r="AD2434" s="331"/>
      <c r="AE2434" s="331">
        <v>4500</v>
      </c>
      <c r="AF2434" s="331"/>
      <c r="AG2434" s="331">
        <v>4710</v>
      </c>
      <c r="AH2434" s="331"/>
      <c r="AI2434" s="331">
        <v>5060</v>
      </c>
      <c r="AJ2434" s="331"/>
      <c r="AK2434" s="331">
        <v>5400</v>
      </c>
      <c r="AL2434" s="288"/>
      <c r="AM2434" s="385">
        <v>3910</v>
      </c>
      <c r="AN2434" s="309">
        <f t="shared" si="364"/>
        <v>0</v>
      </c>
      <c r="AO2434" s="385">
        <f t="shared" si="365"/>
        <v>0</v>
      </c>
      <c r="AP2434" s="30" t="e">
        <f t="shared" si="366"/>
        <v>#DIV/0!</v>
      </c>
      <c r="AQ2434" s="385">
        <v>4400</v>
      </c>
      <c r="AR2434" s="30">
        <f t="shared" si="367"/>
        <v>-2.2222222222222254E-2</v>
      </c>
      <c r="AS2434" s="385">
        <f t="shared" si="368"/>
        <v>0</v>
      </c>
      <c r="AT2434" s="30" t="e">
        <f t="shared" si="369"/>
        <v>#DIV/0!</v>
      </c>
      <c r="AU2434" s="385">
        <v>4710</v>
      </c>
      <c r="AV2434" s="1">
        <f t="shared" si="370"/>
        <v>0</v>
      </c>
      <c r="AW2434" s="1">
        <f t="shared" si="371"/>
        <v>0</v>
      </c>
    </row>
    <row r="2435" spans="1:49">
      <c r="A2435" s="8"/>
      <c r="B2435" s="16" t="str">
        <f>IF($C$1="ENG","D (140 - 160 mm)","D (140 - 160 мм)")</f>
        <v>D (140 - 160 мм)</v>
      </c>
      <c r="C2435" s="430"/>
      <c r="D2435" s="18">
        <f t="shared" si="354"/>
        <v>3400</v>
      </c>
      <c r="E2435" s="267">
        <f t="shared" si="355"/>
        <v>4080</v>
      </c>
      <c r="F2435" s="270"/>
      <c r="G2435" s="66"/>
      <c r="H2435" s="18">
        <f t="shared" si="356"/>
        <v>3908.3333333333335</v>
      </c>
      <c r="I2435" s="267">
        <f t="shared" si="357"/>
        <v>4690</v>
      </c>
      <c r="J2435" s="270"/>
      <c r="K2435" s="66"/>
      <c r="L2435" s="18">
        <f t="shared" si="358"/>
        <v>4108.3333333333339</v>
      </c>
      <c r="M2435" s="267">
        <f t="shared" si="359"/>
        <v>4930.0000000000009</v>
      </c>
      <c r="N2435" s="270"/>
      <c r="O2435" s="66"/>
      <c r="P2435" s="18">
        <f t="shared" si="360"/>
        <v>4408.3333333333339</v>
      </c>
      <c r="Q2435" s="267">
        <f t="shared" si="361"/>
        <v>5290.0000000000009</v>
      </c>
      <c r="R2435" s="270"/>
      <c r="S2435" s="66"/>
      <c r="T2435" s="18">
        <f t="shared" si="362"/>
        <v>4708.3333333333339</v>
      </c>
      <c r="U2435" s="267">
        <f t="shared" si="363"/>
        <v>5650.0000000000009</v>
      </c>
      <c r="V2435" s="270"/>
      <c r="W2435" s="66"/>
      <c r="X2435" s="22"/>
      <c r="Y2435" s="22"/>
      <c r="Z2435" s="22"/>
      <c r="AA2435" s="22"/>
      <c r="AB2435" s="22"/>
      <c r="AC2435" s="331">
        <v>4080</v>
      </c>
      <c r="AD2435" s="331"/>
      <c r="AE2435" s="331">
        <v>4690</v>
      </c>
      <c r="AF2435" s="331"/>
      <c r="AG2435" s="331">
        <v>4930</v>
      </c>
      <c r="AH2435" s="331"/>
      <c r="AI2435" s="331">
        <v>5290</v>
      </c>
      <c r="AJ2435" s="331"/>
      <c r="AK2435" s="331">
        <v>5650</v>
      </c>
      <c r="AL2435" s="288"/>
      <c r="AM2435" s="385">
        <v>4080</v>
      </c>
      <c r="AN2435" s="309">
        <f t="shared" si="364"/>
        <v>0</v>
      </c>
      <c r="AO2435" s="385">
        <f t="shared" si="365"/>
        <v>0</v>
      </c>
      <c r="AP2435" s="30" t="e">
        <f t="shared" si="366"/>
        <v>#DIV/0!</v>
      </c>
      <c r="AQ2435" s="385">
        <v>4690</v>
      </c>
      <c r="AR2435" s="30">
        <f t="shared" si="367"/>
        <v>0</v>
      </c>
      <c r="AS2435" s="385">
        <f t="shared" si="368"/>
        <v>0</v>
      </c>
      <c r="AT2435" s="30" t="e">
        <f t="shared" si="369"/>
        <v>#DIV/0!</v>
      </c>
      <c r="AU2435" s="385">
        <v>4930</v>
      </c>
      <c r="AV2435" s="1">
        <f t="shared" si="370"/>
        <v>0</v>
      </c>
      <c r="AW2435" s="1">
        <f t="shared" si="371"/>
        <v>0</v>
      </c>
    </row>
    <row r="2436" spans="1:49">
      <c r="A2436" s="8"/>
      <c r="B2436" s="16" t="str">
        <f>IF($C$1="ENG","E (160 - 180 mm)","E (160 - 180 мм)")</f>
        <v>E (160 - 180 мм)</v>
      </c>
      <c r="C2436" s="430"/>
      <c r="D2436" s="18">
        <f t="shared" si="354"/>
        <v>3541.666666666667</v>
      </c>
      <c r="E2436" s="267">
        <f t="shared" si="355"/>
        <v>4250</v>
      </c>
      <c r="F2436" s="270"/>
      <c r="G2436" s="66"/>
      <c r="H2436" s="18">
        <f t="shared" si="356"/>
        <v>4066.666666666667</v>
      </c>
      <c r="I2436" s="267">
        <f t="shared" si="357"/>
        <v>4880</v>
      </c>
      <c r="J2436" s="270"/>
      <c r="K2436" s="66"/>
      <c r="L2436" s="18">
        <f t="shared" si="358"/>
        <v>4283.3333333333339</v>
      </c>
      <c r="M2436" s="267">
        <f t="shared" si="359"/>
        <v>5140.0000000000009</v>
      </c>
      <c r="N2436" s="270"/>
      <c r="O2436" s="66"/>
      <c r="P2436" s="18">
        <f t="shared" si="360"/>
        <v>4600</v>
      </c>
      <c r="Q2436" s="267">
        <f t="shared" si="361"/>
        <v>5520</v>
      </c>
      <c r="R2436" s="270"/>
      <c r="S2436" s="66"/>
      <c r="T2436" s="18">
        <f t="shared" si="362"/>
        <v>4908.3333333333339</v>
      </c>
      <c r="U2436" s="267">
        <f t="shared" si="363"/>
        <v>5890.0000000000009</v>
      </c>
      <c r="V2436" s="270"/>
      <c r="W2436" s="66"/>
      <c r="X2436" s="22"/>
      <c r="Y2436" s="22"/>
      <c r="Z2436" s="22"/>
      <c r="AA2436" s="22"/>
      <c r="AB2436" s="22"/>
      <c r="AC2436" s="331">
        <v>4250</v>
      </c>
      <c r="AD2436" s="331"/>
      <c r="AE2436" s="331">
        <v>4880</v>
      </c>
      <c r="AF2436" s="331"/>
      <c r="AG2436" s="331">
        <v>5140</v>
      </c>
      <c r="AH2436" s="331"/>
      <c r="AI2436" s="331">
        <v>5520</v>
      </c>
      <c r="AJ2436" s="331"/>
      <c r="AK2436" s="331">
        <v>5890</v>
      </c>
      <c r="AL2436" s="288"/>
      <c r="AM2436" s="385">
        <v>4250</v>
      </c>
      <c r="AN2436" s="309">
        <f t="shared" si="364"/>
        <v>0</v>
      </c>
      <c r="AO2436" s="385">
        <f t="shared" si="365"/>
        <v>0</v>
      </c>
      <c r="AP2436" s="30" t="e">
        <f t="shared" si="366"/>
        <v>#DIV/0!</v>
      </c>
      <c r="AQ2436" s="385">
        <v>4880</v>
      </c>
      <c r="AR2436" s="30">
        <f t="shared" si="367"/>
        <v>0</v>
      </c>
      <c r="AS2436" s="385">
        <f t="shared" si="368"/>
        <v>0</v>
      </c>
      <c r="AT2436" s="30" t="e">
        <f t="shared" si="369"/>
        <v>#DIV/0!</v>
      </c>
      <c r="AU2436" s="385">
        <v>5140</v>
      </c>
      <c r="AV2436" s="1">
        <f t="shared" si="370"/>
        <v>0</v>
      </c>
      <c r="AW2436" s="1">
        <f t="shared" si="371"/>
        <v>0</v>
      </c>
    </row>
    <row r="2437" spans="1:49">
      <c r="A2437" s="8"/>
      <c r="B2437" s="16" t="str">
        <f>IF($C$1="ENG","F (180 - 200 mm)","F (180 - 200 мм)")</f>
        <v>F (180 - 200 мм)</v>
      </c>
      <c r="C2437" s="430"/>
      <c r="D2437" s="18">
        <f t="shared" si="354"/>
        <v>3683.3333333333335</v>
      </c>
      <c r="E2437" s="267">
        <f t="shared" si="355"/>
        <v>4420</v>
      </c>
      <c r="F2437" s="270"/>
      <c r="G2437" s="66"/>
      <c r="H2437" s="18">
        <f t="shared" si="356"/>
        <v>4241.666666666667</v>
      </c>
      <c r="I2437" s="267">
        <f t="shared" si="357"/>
        <v>5090</v>
      </c>
      <c r="J2437" s="270"/>
      <c r="K2437" s="66"/>
      <c r="L2437" s="18">
        <f t="shared" si="358"/>
        <v>4458.3333333333339</v>
      </c>
      <c r="M2437" s="267">
        <f t="shared" si="359"/>
        <v>5350.0000000000009</v>
      </c>
      <c r="N2437" s="270"/>
      <c r="O2437" s="66"/>
      <c r="P2437" s="18">
        <f t="shared" si="360"/>
        <v>4783.3333333333339</v>
      </c>
      <c r="Q2437" s="267">
        <f t="shared" si="361"/>
        <v>5740.0000000000009</v>
      </c>
      <c r="R2437" s="270"/>
      <c r="S2437" s="66"/>
      <c r="T2437" s="18">
        <f t="shared" si="362"/>
        <v>5116.666666666667</v>
      </c>
      <c r="U2437" s="267">
        <f t="shared" si="363"/>
        <v>6140</v>
      </c>
      <c r="V2437" s="270"/>
      <c r="W2437" s="66"/>
      <c r="X2437" s="22"/>
      <c r="Y2437" s="22"/>
      <c r="Z2437" s="22"/>
      <c r="AA2437" s="22"/>
      <c r="AB2437" s="22"/>
      <c r="AC2437" s="331">
        <v>4420</v>
      </c>
      <c r="AD2437" s="331"/>
      <c r="AE2437" s="331">
        <v>5090</v>
      </c>
      <c r="AF2437" s="331"/>
      <c r="AG2437" s="331">
        <v>5350</v>
      </c>
      <c r="AH2437" s="331"/>
      <c r="AI2437" s="331">
        <v>5740</v>
      </c>
      <c r="AJ2437" s="331"/>
      <c r="AK2437" s="331">
        <v>6140</v>
      </c>
      <c r="AL2437" s="288"/>
      <c r="AM2437" s="385">
        <v>4420</v>
      </c>
      <c r="AN2437" s="309">
        <f t="shared" si="364"/>
        <v>0</v>
      </c>
      <c r="AO2437" s="385">
        <f t="shared" si="365"/>
        <v>0</v>
      </c>
      <c r="AP2437" s="30" t="e">
        <f t="shared" si="366"/>
        <v>#DIV/0!</v>
      </c>
      <c r="AQ2437" s="385">
        <v>5090</v>
      </c>
      <c r="AR2437" s="30">
        <f t="shared" si="367"/>
        <v>0</v>
      </c>
      <c r="AS2437" s="385">
        <f t="shared" si="368"/>
        <v>0</v>
      </c>
      <c r="AT2437" s="30" t="e">
        <f t="shared" si="369"/>
        <v>#DIV/0!</v>
      </c>
      <c r="AU2437" s="385">
        <v>5350</v>
      </c>
      <c r="AV2437" s="1">
        <f t="shared" si="370"/>
        <v>0</v>
      </c>
      <c r="AW2437" s="1">
        <f t="shared" si="371"/>
        <v>0</v>
      </c>
    </row>
    <row r="2438" spans="1:49">
      <c r="A2438" s="8"/>
      <c r="B2438" s="16" t="str">
        <f>IF($C$1="ENG","G (200 - 220 mm)","G (200 - 220 мм)")</f>
        <v>G (200 - 220 мм)</v>
      </c>
      <c r="C2438" s="430"/>
      <c r="D2438" s="18">
        <f t="shared" si="354"/>
        <v>3825</v>
      </c>
      <c r="E2438" s="267">
        <f t="shared" si="355"/>
        <v>4590</v>
      </c>
      <c r="F2438" s="270"/>
      <c r="G2438" s="66"/>
      <c r="H2438" s="18">
        <f t="shared" si="356"/>
        <v>4400</v>
      </c>
      <c r="I2438" s="267">
        <f t="shared" si="357"/>
        <v>5280</v>
      </c>
      <c r="J2438" s="270"/>
      <c r="K2438" s="66"/>
      <c r="L2438" s="18">
        <f t="shared" si="358"/>
        <v>4633.3333333333339</v>
      </c>
      <c r="M2438" s="267">
        <f t="shared" si="359"/>
        <v>5560.0000000000009</v>
      </c>
      <c r="N2438" s="270"/>
      <c r="O2438" s="66"/>
      <c r="P2438" s="18">
        <f t="shared" si="360"/>
        <v>4975</v>
      </c>
      <c r="Q2438" s="267">
        <f t="shared" si="361"/>
        <v>5970</v>
      </c>
      <c r="R2438" s="270"/>
      <c r="S2438" s="66"/>
      <c r="T2438" s="18">
        <f t="shared" si="362"/>
        <v>5308.3333333333339</v>
      </c>
      <c r="U2438" s="267">
        <f t="shared" si="363"/>
        <v>6370.0000000000009</v>
      </c>
      <c r="V2438" s="270"/>
      <c r="W2438" s="66"/>
      <c r="X2438" s="22"/>
      <c r="Y2438" s="22"/>
      <c r="Z2438" s="22"/>
      <c r="AA2438" s="22"/>
      <c r="AB2438" s="22"/>
      <c r="AC2438" s="331">
        <v>4590</v>
      </c>
      <c r="AD2438" s="331"/>
      <c r="AE2438" s="331">
        <v>5280</v>
      </c>
      <c r="AF2438" s="331"/>
      <c r="AG2438" s="331">
        <v>5560</v>
      </c>
      <c r="AH2438" s="331"/>
      <c r="AI2438" s="331">
        <v>5970</v>
      </c>
      <c r="AJ2438" s="331"/>
      <c r="AK2438" s="331">
        <v>6370</v>
      </c>
      <c r="AL2438" s="288"/>
      <c r="AM2438" s="385">
        <v>4590</v>
      </c>
      <c r="AN2438" s="309">
        <f t="shared" si="364"/>
        <v>0</v>
      </c>
      <c r="AO2438" s="385">
        <f t="shared" si="365"/>
        <v>0</v>
      </c>
      <c r="AP2438" s="30" t="e">
        <f t="shared" si="366"/>
        <v>#DIV/0!</v>
      </c>
      <c r="AQ2438" s="385">
        <v>5280</v>
      </c>
      <c r="AR2438" s="30">
        <f t="shared" si="367"/>
        <v>0</v>
      </c>
      <c r="AS2438" s="385">
        <f t="shared" si="368"/>
        <v>0</v>
      </c>
      <c r="AT2438" s="30" t="e">
        <f t="shared" si="369"/>
        <v>#DIV/0!</v>
      </c>
      <c r="AU2438" s="385">
        <v>5560</v>
      </c>
      <c r="AV2438" s="1">
        <f t="shared" si="370"/>
        <v>0</v>
      </c>
      <c r="AW2438" s="1">
        <f t="shared" si="371"/>
        <v>0</v>
      </c>
    </row>
    <row r="2439" spans="1:49">
      <c r="A2439" s="8"/>
      <c r="B2439" s="16" t="str">
        <f>IF($C$1="ENG","H (220 - 240 mm)","H (220 - 240 мм)")</f>
        <v>H (220 - 240 мм)</v>
      </c>
      <c r="C2439" s="430"/>
      <c r="D2439" s="18">
        <f t="shared" si="354"/>
        <v>3966.666666666667</v>
      </c>
      <c r="E2439" s="267">
        <f t="shared" si="355"/>
        <v>4760</v>
      </c>
      <c r="F2439" s="270"/>
      <c r="G2439" s="66"/>
      <c r="H2439" s="18">
        <f t="shared" si="356"/>
        <v>4558.3333333333339</v>
      </c>
      <c r="I2439" s="267">
        <f t="shared" si="357"/>
        <v>5470.0000000000009</v>
      </c>
      <c r="J2439" s="270"/>
      <c r="K2439" s="66"/>
      <c r="L2439" s="18">
        <f t="shared" si="358"/>
        <v>4800</v>
      </c>
      <c r="M2439" s="267">
        <f t="shared" si="359"/>
        <v>5760</v>
      </c>
      <c r="N2439" s="270"/>
      <c r="O2439" s="66"/>
      <c r="P2439" s="18">
        <f t="shared" si="360"/>
        <v>5158.3333333333339</v>
      </c>
      <c r="Q2439" s="267">
        <f t="shared" si="361"/>
        <v>6190.0000000000009</v>
      </c>
      <c r="R2439" s="270"/>
      <c r="S2439" s="66"/>
      <c r="T2439" s="18">
        <f t="shared" si="362"/>
        <v>5500</v>
      </c>
      <c r="U2439" s="267">
        <f t="shared" si="363"/>
        <v>6600</v>
      </c>
      <c r="V2439" s="270"/>
      <c r="W2439" s="66"/>
      <c r="X2439" s="22"/>
      <c r="Y2439" s="22"/>
      <c r="Z2439" s="22"/>
      <c r="AA2439" s="22"/>
      <c r="AB2439" s="22"/>
      <c r="AC2439" s="331">
        <v>4760</v>
      </c>
      <c r="AD2439" s="331"/>
      <c r="AE2439" s="331">
        <v>5470</v>
      </c>
      <c r="AF2439" s="331"/>
      <c r="AG2439" s="331">
        <v>5760</v>
      </c>
      <c r="AH2439" s="331"/>
      <c r="AI2439" s="331">
        <v>6190</v>
      </c>
      <c r="AJ2439" s="331"/>
      <c r="AK2439" s="331">
        <v>6600</v>
      </c>
      <c r="AL2439" s="288"/>
      <c r="AM2439" s="385">
        <v>4760</v>
      </c>
      <c r="AN2439" s="309">
        <f t="shared" si="364"/>
        <v>0</v>
      </c>
      <c r="AO2439" s="385">
        <f t="shared" si="365"/>
        <v>0</v>
      </c>
      <c r="AP2439" s="30" t="e">
        <f t="shared" si="366"/>
        <v>#DIV/0!</v>
      </c>
      <c r="AQ2439" s="385">
        <v>5470</v>
      </c>
      <c r="AR2439" s="30">
        <f t="shared" si="367"/>
        <v>0</v>
      </c>
      <c r="AS2439" s="385">
        <f t="shared" si="368"/>
        <v>0</v>
      </c>
      <c r="AT2439" s="30" t="e">
        <f t="shared" si="369"/>
        <v>#DIV/0!</v>
      </c>
      <c r="AU2439" s="385">
        <v>5760</v>
      </c>
      <c r="AV2439" s="1">
        <f t="shared" si="370"/>
        <v>0</v>
      </c>
      <c r="AW2439" s="1">
        <f t="shared" si="371"/>
        <v>0</v>
      </c>
    </row>
    <row r="2440" spans="1:49">
      <c r="A2440" s="8"/>
      <c r="B2440" s="23" t="str">
        <f>IF($C$1="ENG","I (240 - 260 mm)","I (240 - 260 мм)")</f>
        <v>I (240 - 260 мм)</v>
      </c>
      <c r="C2440" s="431"/>
      <c r="D2440" s="25">
        <f t="shared" si="354"/>
        <v>4108.3333333333339</v>
      </c>
      <c r="E2440" s="268">
        <f t="shared" si="355"/>
        <v>4930.0000000000009</v>
      </c>
      <c r="F2440" s="271"/>
      <c r="G2440" s="69"/>
      <c r="H2440" s="25">
        <f t="shared" si="356"/>
        <v>4716.666666666667</v>
      </c>
      <c r="I2440" s="268">
        <f t="shared" si="357"/>
        <v>5660</v>
      </c>
      <c r="J2440" s="271"/>
      <c r="K2440" s="69"/>
      <c r="L2440" s="25">
        <f t="shared" si="358"/>
        <v>4991.666666666667</v>
      </c>
      <c r="M2440" s="268">
        <f t="shared" si="359"/>
        <v>5990</v>
      </c>
      <c r="N2440" s="271"/>
      <c r="O2440" s="69"/>
      <c r="P2440" s="25">
        <f t="shared" si="360"/>
        <v>5350</v>
      </c>
      <c r="Q2440" s="268">
        <f t="shared" si="361"/>
        <v>6420</v>
      </c>
      <c r="R2440" s="271"/>
      <c r="S2440" s="69"/>
      <c r="T2440" s="25">
        <f t="shared" si="362"/>
        <v>5708.3333333333339</v>
      </c>
      <c r="U2440" s="268">
        <f t="shared" si="363"/>
        <v>6850.0000000000009</v>
      </c>
      <c r="V2440" s="271"/>
      <c r="W2440" s="69"/>
      <c r="X2440" s="22"/>
      <c r="Y2440" s="22"/>
      <c r="Z2440" s="22"/>
      <c r="AA2440" s="22"/>
      <c r="AB2440" s="22"/>
      <c r="AC2440" s="450">
        <v>4930</v>
      </c>
      <c r="AD2440" s="450"/>
      <c r="AE2440" s="450">
        <v>5660</v>
      </c>
      <c r="AF2440" s="450"/>
      <c r="AG2440" s="450">
        <v>5990</v>
      </c>
      <c r="AH2440" s="450"/>
      <c r="AI2440" s="450">
        <v>6420</v>
      </c>
      <c r="AJ2440" s="450"/>
      <c r="AK2440" s="450">
        <v>6850</v>
      </c>
      <c r="AL2440" s="451"/>
      <c r="AM2440" s="385">
        <v>4930</v>
      </c>
      <c r="AN2440" s="309">
        <f t="shared" si="364"/>
        <v>0</v>
      </c>
      <c r="AO2440" s="385">
        <f t="shared" si="365"/>
        <v>0</v>
      </c>
      <c r="AP2440" s="30" t="e">
        <f t="shared" si="366"/>
        <v>#DIV/0!</v>
      </c>
      <c r="AQ2440" s="385">
        <v>5660</v>
      </c>
      <c r="AR2440" s="30">
        <f t="shared" si="367"/>
        <v>0</v>
      </c>
      <c r="AS2440" s="385">
        <f t="shared" si="368"/>
        <v>0</v>
      </c>
      <c r="AT2440" s="30" t="e">
        <f t="shared" si="369"/>
        <v>#DIV/0!</v>
      </c>
      <c r="AU2440" s="385">
        <v>5990</v>
      </c>
      <c r="AV2440" s="1">
        <f t="shared" si="370"/>
        <v>0</v>
      </c>
      <c r="AW2440" s="1">
        <f t="shared" si="371"/>
        <v>0</v>
      </c>
    </row>
    <row r="2441" spans="1:49" s="8" customFormat="1">
      <c r="B2441" s="449"/>
      <c r="C2441" s="426"/>
      <c r="D2441" s="28"/>
      <c r="E2441" s="59"/>
      <c r="F2441" s="28"/>
      <c r="G2441" s="59"/>
      <c r="H2441" s="28"/>
      <c r="I2441" s="59"/>
      <c r="J2441" s="28"/>
      <c r="K2441" s="59"/>
      <c r="L2441" s="28"/>
      <c r="M2441" s="59"/>
      <c r="N2441" s="28"/>
      <c r="O2441" s="59"/>
      <c r="P2441" s="28"/>
      <c r="Q2441" s="59"/>
      <c r="R2441" s="28"/>
      <c r="S2441" s="59"/>
      <c r="T2441" s="28"/>
      <c r="U2441" s="59"/>
      <c r="V2441" s="28"/>
      <c r="W2441" s="59"/>
      <c r="X2441" s="40"/>
      <c r="Y2441" s="40"/>
      <c r="Z2441" s="40"/>
      <c r="AA2441" s="40"/>
      <c r="AB2441" s="40"/>
      <c r="AC2441" s="48"/>
      <c r="AD2441" s="48"/>
      <c r="AE2441" s="48"/>
      <c r="AF2441" s="48"/>
      <c r="AG2441" s="48"/>
      <c r="AH2441" s="48"/>
      <c r="AI2441" s="48"/>
      <c r="AJ2441" s="48"/>
      <c r="AK2441" s="48"/>
      <c r="AL2441" s="48"/>
      <c r="AM2441" s="454"/>
      <c r="AN2441" s="455"/>
      <c r="AO2441" s="454"/>
      <c r="AP2441" s="279"/>
      <c r="AQ2441" s="454"/>
      <c r="AR2441" s="279"/>
      <c r="AS2441" s="454"/>
      <c r="AT2441" s="279"/>
      <c r="AU2441" s="454"/>
    </row>
    <row r="2442" spans="1:49" s="8" customFormat="1">
      <c r="B2442" s="449"/>
      <c r="C2442" s="426"/>
      <c r="D2442" s="28"/>
      <c r="E2442" s="59"/>
      <c r="F2442" s="28"/>
      <c r="G2442" s="59"/>
      <c r="H2442" s="28"/>
      <c r="I2442" s="59"/>
      <c r="J2442" s="28"/>
      <c r="K2442" s="59"/>
      <c r="L2442" s="28"/>
      <c r="M2442" s="59"/>
      <c r="N2442" s="28"/>
      <c r="O2442" s="59"/>
      <c r="P2442" s="28"/>
      <c r="Q2442" s="59"/>
      <c r="R2442" s="28"/>
      <c r="S2442" s="59"/>
      <c r="T2442" s="28"/>
      <c r="U2442" s="59"/>
      <c r="V2442" s="28"/>
      <c r="W2442" s="59"/>
      <c r="X2442" s="40"/>
      <c r="Y2442" s="40"/>
      <c r="Z2442" s="40"/>
      <c r="AA2442" s="40"/>
      <c r="AB2442" s="40"/>
      <c r="AC2442" s="48"/>
      <c r="AD2442" s="48"/>
      <c r="AE2442" s="48"/>
      <c r="AF2442" s="48"/>
      <c r="AG2442" s="48"/>
      <c r="AH2442" s="48"/>
      <c r="AI2442" s="48"/>
      <c r="AJ2442" s="48"/>
      <c r="AK2442" s="48"/>
      <c r="AL2442" s="48"/>
      <c r="AM2442" s="454"/>
      <c r="AN2442" s="455"/>
      <c r="AO2442" s="454"/>
      <c r="AP2442" s="279"/>
      <c r="AQ2442" s="454"/>
      <c r="AR2442" s="279"/>
      <c r="AS2442" s="454"/>
      <c r="AT2442" s="279"/>
      <c r="AU2442" s="454"/>
    </row>
    <row r="2443" spans="1:49" s="48" customFormat="1" ht="24.95" customHeight="1">
      <c r="B2443" s="54" t="str">
        <f>IF($C$1="ENG","ADJUSTABLE PANELS","ПЛАНКИ РЕГУЛЮВАЛЬНІ")</f>
        <v>ПЛАНКИ РЕГУЛЮВАЛЬНІ</v>
      </c>
      <c r="C2443" s="426"/>
      <c r="D2443" s="28"/>
      <c r="E2443" s="563" t="str">
        <f>IF($C$1="ENG","For Door Frames Verto-FIT Comfort","Для Дверних Коробок Verto-FIT  Comfort")</f>
        <v>Для Дверних Коробок Verto-FIT  Comfort</v>
      </c>
      <c r="F2443" s="563"/>
      <c r="G2443" s="563"/>
      <c r="H2443" s="563"/>
      <c r="I2443" s="563"/>
      <c r="J2443" s="563"/>
      <c r="K2443" s="563"/>
      <c r="L2443" s="28"/>
      <c r="M2443" s="105"/>
      <c r="N2443" s="28"/>
      <c r="O2443" s="29"/>
      <c r="P2443" s="28"/>
      <c r="Q2443" s="105"/>
      <c r="R2443" s="28"/>
      <c r="S2443" s="29"/>
      <c r="T2443" s="152"/>
      <c r="U2443" s="154"/>
      <c r="V2443" s="152"/>
      <c r="W2443" s="153"/>
      <c r="AN2443" s="56"/>
      <c r="AO2443" s="56"/>
      <c r="AP2443" s="56"/>
      <c r="AQ2443" s="56"/>
      <c r="AR2443" s="56"/>
      <c r="AS2443" s="56"/>
      <c r="AT2443" s="56"/>
    </row>
    <row r="2444" spans="1:49" ht="34.5" customHeight="1">
      <c r="A2444" s="8"/>
      <c r="B2444" s="243" t="str">
        <f>IF($C$1="ENG","Panel (1 set) 80 mm","Планка (1 к-т) 80 мм")</f>
        <v>Планка (1 к-т) 80 мм</v>
      </c>
      <c r="C2444" s="432"/>
      <c r="D2444" s="15">
        <f>IF(AC2444="","",(1-$W$2)*(AC2444/1.2))</f>
        <v>991.66666666666674</v>
      </c>
      <c r="E2444" s="298">
        <f>IF($W$5=0.2,D2444*1.2,D2444)/$W$4</f>
        <v>1190</v>
      </c>
      <c r="F2444" s="269"/>
      <c r="G2444" s="64"/>
      <c r="H2444" s="15">
        <f>IF(AE2444="","",(1-$W$2)*(AE2444/1.2))</f>
        <v>1091.6666666666667</v>
      </c>
      <c r="I2444" s="266">
        <f>IF($W$5=0.2,H2444*1.2,H2444)/$W$4</f>
        <v>1310</v>
      </c>
      <c r="J2444" s="269"/>
      <c r="K2444" s="64"/>
      <c r="L2444" s="15">
        <f>IF(AG2444="","",(1-$W$2)*(AG2444/1.2))</f>
        <v>1158.3333333333335</v>
      </c>
      <c r="M2444" s="266">
        <f>IF($W$5=0.2,L2444*1.2,L2444)/$W$4</f>
        <v>1390.0000000000002</v>
      </c>
      <c r="N2444" s="269"/>
      <c r="O2444" s="64"/>
      <c r="P2444" s="15">
        <f>IF(AI2444="","",(1-$W$2)*(AI2444/1.2))</f>
        <v>1225</v>
      </c>
      <c r="Q2444" s="266">
        <f>IF($W$5=0.2,P2444*1.2,P2444)/$W$4</f>
        <v>1470</v>
      </c>
      <c r="R2444" s="269"/>
      <c r="S2444" s="64"/>
      <c r="T2444" s="15">
        <f>IF(AK2444="","",(1-$W$2)*(AK2444/1.2))</f>
        <v>1291.6666666666667</v>
      </c>
      <c r="U2444" s="266">
        <f>IF($W$5=0.2,T2444*1.2,T2444)/$W$4</f>
        <v>1550</v>
      </c>
      <c r="V2444" s="269"/>
      <c r="W2444" s="64"/>
      <c r="AC2444" s="331">
        <v>1190</v>
      </c>
      <c r="AD2444" s="331"/>
      <c r="AE2444" s="331">
        <v>1310</v>
      </c>
      <c r="AF2444" s="331"/>
      <c r="AG2444" s="331">
        <v>1390</v>
      </c>
      <c r="AH2444" s="331"/>
      <c r="AI2444" s="331">
        <v>1470</v>
      </c>
      <c r="AJ2444" s="331"/>
      <c r="AK2444" s="331">
        <v>1550</v>
      </c>
      <c r="AL2444" s="288"/>
      <c r="AM2444" s="385">
        <v>1190</v>
      </c>
      <c r="AN2444" s="309">
        <f>AM2444/AC2444-1</f>
        <v>0</v>
      </c>
      <c r="AO2444" s="385">
        <f>AD2444/100*13+AD2444</f>
        <v>0</v>
      </c>
      <c r="AP2444" s="30" t="e">
        <f>AO2444/AD2444-1</f>
        <v>#DIV/0!</v>
      </c>
      <c r="AQ2444" s="385">
        <v>1310</v>
      </c>
      <c r="AR2444" s="30">
        <f>AQ2444/AE2444-1</f>
        <v>0</v>
      </c>
      <c r="AS2444" s="385">
        <f>AF2444/100*13+AF2444</f>
        <v>0</v>
      </c>
      <c r="AT2444" s="30" t="e">
        <f>AS2444/AF2444-1</f>
        <v>#DIV/0!</v>
      </c>
      <c r="AU2444" s="385">
        <v>1390</v>
      </c>
      <c r="AV2444" s="1">
        <f>AU2444/AG2444-1</f>
        <v>0</v>
      </c>
      <c r="AW2444" s="1">
        <f>AH2444/100*13+AH2444</f>
        <v>0</v>
      </c>
    </row>
    <row r="2445" spans="1:49" ht="34.5" customHeight="1">
      <c r="A2445" s="8"/>
      <c r="B2445" s="311" t="str">
        <f>IF($C$1="ENG","Panel (1 set) 160 mm","Планка (1 к-т) 160 мм")</f>
        <v>Планка (1 к-т) 160 мм</v>
      </c>
      <c r="C2445" s="430"/>
      <c r="D2445" s="18">
        <f>IF(AC2445="","",(1-$W$2)*(AC2445/1.2))</f>
        <v>1650</v>
      </c>
      <c r="E2445" s="267">
        <f>IF($W$5=0.2,D2445*1.2,D2445)/$W$4</f>
        <v>1980</v>
      </c>
      <c r="F2445" s="270"/>
      <c r="G2445" s="66"/>
      <c r="H2445" s="18">
        <f>IF(AE2445="","",(1-$W$2)*(AE2445/1.2))</f>
        <v>1875</v>
      </c>
      <c r="I2445" s="267">
        <f>IF($W$5=0.2,H2445*1.2,H2445)/$W$4</f>
        <v>2250</v>
      </c>
      <c r="J2445" s="270"/>
      <c r="K2445" s="66"/>
      <c r="L2445" s="18">
        <f>IF(AG2445="","",(1-$W$2)*(AG2445/1.2))</f>
        <v>1991.6666666666667</v>
      </c>
      <c r="M2445" s="267">
        <f>IF($W$5=0.2,L2445*1.2,L2445)/$W$4</f>
        <v>2390</v>
      </c>
      <c r="N2445" s="270"/>
      <c r="O2445" s="66"/>
      <c r="P2445" s="18">
        <f>IF(AI2445="","",(1-$W$2)*(AI2445/1.2))</f>
        <v>2116.666666666667</v>
      </c>
      <c r="Q2445" s="267">
        <f>IF($W$5=0.2,P2445*1.2,P2445)/$W$4</f>
        <v>2540.0000000000005</v>
      </c>
      <c r="R2445" s="270"/>
      <c r="S2445" s="66"/>
      <c r="T2445" s="18">
        <f>IF(AK2445="","",(1-$W$2)*(AK2445/1.2))</f>
        <v>2241.666666666667</v>
      </c>
      <c r="U2445" s="267">
        <f>IF($W$5=0.2,T2445*1.2,T2445)/$W$4</f>
        <v>2690.0000000000005</v>
      </c>
      <c r="V2445" s="270"/>
      <c r="W2445" s="66"/>
      <c r="AC2445" s="331">
        <v>1980</v>
      </c>
      <c r="AD2445" s="331"/>
      <c r="AE2445" s="331">
        <v>2250</v>
      </c>
      <c r="AF2445" s="331"/>
      <c r="AG2445" s="331">
        <v>2390</v>
      </c>
      <c r="AH2445" s="331"/>
      <c r="AI2445" s="331">
        <v>2540</v>
      </c>
      <c r="AJ2445" s="331"/>
      <c r="AK2445" s="331">
        <v>2690</v>
      </c>
      <c r="AL2445" s="288"/>
      <c r="AM2445" s="385">
        <v>1980</v>
      </c>
      <c r="AN2445" s="309">
        <f t="shared" ref="AN2445:AN2446" si="372">AM2445/AC2445-1</f>
        <v>0</v>
      </c>
      <c r="AO2445" s="385">
        <f t="shared" ref="AO2445:AO2446" si="373">AD2445/100*13+AD2445</f>
        <v>0</v>
      </c>
      <c r="AP2445" s="30" t="e">
        <f t="shared" ref="AP2445:AP2446" si="374">AO2445/AD2445-1</f>
        <v>#DIV/0!</v>
      </c>
      <c r="AQ2445" s="385">
        <v>2250</v>
      </c>
      <c r="AR2445" s="30">
        <f t="shared" ref="AR2445:AR2446" si="375">AQ2445/AE2445-1</f>
        <v>0</v>
      </c>
      <c r="AS2445" s="385">
        <f t="shared" ref="AS2445:AS2446" si="376">AF2445/100*13+AF2445</f>
        <v>0</v>
      </c>
      <c r="AT2445" s="30" t="e">
        <f t="shared" ref="AT2445:AT2446" si="377">AS2445/AF2445-1</f>
        <v>#DIV/0!</v>
      </c>
      <c r="AU2445" s="385">
        <v>2390</v>
      </c>
      <c r="AV2445" s="1">
        <f t="shared" ref="AV2445:AV2446" si="378">AU2445/AG2445-1</f>
        <v>0</v>
      </c>
      <c r="AW2445" s="1">
        <f t="shared" ref="AW2445:AW2446" si="379">AH2445/100*13+AH2445</f>
        <v>0</v>
      </c>
    </row>
    <row r="2446" spans="1:49" ht="34.5" customHeight="1">
      <c r="A2446" s="8"/>
      <c r="B2446" s="107" t="str">
        <f>IF($C$1="ENG","Panel (1 set) 200 mm","Планка (1 к-т) 200 мм")</f>
        <v>Планка (1 к-т) 200 мм</v>
      </c>
      <c r="C2446" s="431"/>
      <c r="D2446" s="25">
        <f>IF(AC2446="","",(1-$W$2)*(AC2446/1.2))</f>
        <v>1966.6666666666667</v>
      </c>
      <c r="E2446" s="268">
        <f>IF($W$5=0.2,D2446*1.2,D2446)/$W$4</f>
        <v>2360</v>
      </c>
      <c r="F2446" s="271"/>
      <c r="G2446" s="69"/>
      <c r="H2446" s="25">
        <f>IF(AE2446="","",(1-$W$2)*(AE2446/1.2))</f>
        <v>2241.666666666667</v>
      </c>
      <c r="I2446" s="268">
        <f>IF($W$5=0.2,H2446*1.2,H2446)/$W$4</f>
        <v>2690.0000000000005</v>
      </c>
      <c r="J2446" s="271"/>
      <c r="K2446" s="69"/>
      <c r="L2446" s="25">
        <f>IF(AG2446="","",(1-$W$2)*(AG2446/1.2))</f>
        <v>2391.666666666667</v>
      </c>
      <c r="M2446" s="268">
        <f>IF($W$5=0.2,L2446*1.2,L2446)/$W$4</f>
        <v>2870.0000000000005</v>
      </c>
      <c r="N2446" s="271"/>
      <c r="O2446" s="69"/>
      <c r="P2446" s="25">
        <f>IF(AI2446="","",(1-$W$2)*(AI2446/1.2))</f>
        <v>2525</v>
      </c>
      <c r="Q2446" s="268">
        <f>IF($W$5=0.2,P2446*1.2,P2446)/$W$4</f>
        <v>3030</v>
      </c>
      <c r="R2446" s="271"/>
      <c r="S2446" s="69"/>
      <c r="T2446" s="25">
        <f>IF(AK2446="","",(1-$W$2)*(AK2446/1.2))</f>
        <v>2675</v>
      </c>
      <c r="U2446" s="268">
        <f>IF($W$5=0.2,T2446*1.2,T2446)/$W$4</f>
        <v>3210</v>
      </c>
      <c r="V2446" s="271"/>
      <c r="W2446" s="69"/>
      <c r="AC2446" s="331">
        <v>2360</v>
      </c>
      <c r="AD2446" s="331"/>
      <c r="AE2446" s="331">
        <v>2690</v>
      </c>
      <c r="AF2446" s="331"/>
      <c r="AG2446" s="331">
        <v>2870</v>
      </c>
      <c r="AH2446" s="331"/>
      <c r="AI2446" s="331">
        <v>3030</v>
      </c>
      <c r="AJ2446" s="331"/>
      <c r="AK2446" s="331">
        <v>3210</v>
      </c>
      <c r="AL2446" s="288"/>
      <c r="AM2446" s="385">
        <v>2360</v>
      </c>
      <c r="AN2446" s="309">
        <f t="shared" si="372"/>
        <v>0</v>
      </c>
      <c r="AO2446" s="385">
        <f t="shared" si="373"/>
        <v>0</v>
      </c>
      <c r="AP2446" s="30" t="e">
        <f t="shared" si="374"/>
        <v>#DIV/0!</v>
      </c>
      <c r="AQ2446" s="385">
        <v>2690</v>
      </c>
      <c r="AR2446" s="30">
        <f t="shared" si="375"/>
        <v>0</v>
      </c>
      <c r="AS2446" s="385">
        <f t="shared" si="376"/>
        <v>0</v>
      </c>
      <c r="AT2446" s="30" t="e">
        <f t="shared" si="377"/>
        <v>#DIV/0!</v>
      </c>
      <c r="AU2446" s="385">
        <v>2870</v>
      </c>
      <c r="AV2446" s="1">
        <f t="shared" si="378"/>
        <v>0</v>
      </c>
      <c r="AW2446" s="1">
        <f t="shared" si="379"/>
        <v>0</v>
      </c>
    </row>
    <row r="2447" spans="1:49">
      <c r="C2447" s="244"/>
      <c r="D2447" s="26"/>
      <c r="E2447" s="57"/>
      <c r="F2447" s="26"/>
      <c r="G2447" s="57"/>
      <c r="H2447" s="5"/>
      <c r="K2447" s="20"/>
      <c r="L2447" s="48"/>
      <c r="M2447" s="105"/>
      <c r="N2447" s="48"/>
      <c r="O2447" s="48"/>
      <c r="P2447" s="48"/>
      <c r="Q2447" s="105"/>
      <c r="R2447" s="48"/>
      <c r="S2447" s="48"/>
      <c r="U2447" s="20"/>
      <c r="W2447" s="20"/>
    </row>
    <row r="2448" spans="1:49">
      <c r="B2448" s="211" t="str">
        <f>IF($C$1="ENG","For additonal charge:","Послуги за додаткову плату:")</f>
        <v>Послуги за додаткову плату:</v>
      </c>
      <c r="C2448" s="419"/>
      <c r="D2448" s="212"/>
      <c r="E2448" s="213"/>
      <c r="F2448" s="39"/>
      <c r="G2448" s="39"/>
      <c r="H2448" s="10"/>
      <c r="I2448" s="83"/>
      <c r="J2448" s="8"/>
      <c r="K2448" s="8"/>
      <c r="L2448" s="104"/>
      <c r="N2448" s="104"/>
      <c r="P2448" s="104"/>
      <c r="R2448" s="104"/>
      <c r="U2448" s="20"/>
      <c r="W2448" s="20"/>
    </row>
    <row r="2449" spans="2:47" ht="5.0999999999999996" customHeight="1">
      <c r="B2449" s="27"/>
      <c r="C2449" s="244"/>
      <c r="D2449" s="26"/>
      <c r="E2449" s="57"/>
      <c r="F2449" s="26"/>
      <c r="G2449" s="26"/>
      <c r="H2449" s="10"/>
      <c r="I2449" s="8"/>
      <c r="J2449" s="8"/>
      <c r="K2449" s="8"/>
      <c r="U2449" s="20"/>
      <c r="W2449" s="20"/>
    </row>
    <row r="2450" spans="2:47">
      <c r="B2450" s="568" t="str">
        <f>IF($C$1="ENG","hidden 3D door hindge","прихована 3D завіса хром/чорн.")</f>
        <v>прихована 3D завіса хром/чорн.</v>
      </c>
      <c r="C2450" s="569"/>
      <c r="D2450" s="51">
        <f>IF(AC2450="","",(1-$W$2)*(AC2450/1.2))</f>
        <v>741.66666666666674</v>
      </c>
      <c r="E2450" s="84">
        <f>IF($W$5=0.2,D2450*1.2,D2450)/$W$4</f>
        <v>890.00000000000011</v>
      </c>
      <c r="F2450" s="26"/>
      <c r="G2450" s="26"/>
      <c r="H2450" s="10"/>
      <c r="I2450" s="83"/>
      <c r="J2450" s="8"/>
      <c r="K2450" s="83"/>
      <c r="U2450" s="20"/>
      <c r="W2450" s="20"/>
      <c r="AC2450" s="297">
        <v>890</v>
      </c>
      <c r="AD2450" s="385"/>
      <c r="AE2450" s="30"/>
      <c r="AF2450" s="288"/>
      <c r="AG2450" s="288"/>
      <c r="AH2450" s="288"/>
      <c r="AI2450" s="288"/>
      <c r="AJ2450" s="288"/>
      <c r="AK2450" s="288"/>
      <c r="AL2450" s="288"/>
    </row>
    <row r="2451" spans="2:47" ht="14.25" customHeight="1">
      <c r="T2451" s="570" t="str">
        <f>IF($C$1="ENG",CONCATENATE("down to: ",B2534),CONCATENATE("вниз до: ",B2534))</f>
        <v xml:space="preserve">вниз до: </v>
      </c>
      <c r="U2451" s="570"/>
      <c r="V2451" s="570"/>
      <c r="W2451" s="570"/>
    </row>
    <row r="2452" spans="2:47" s="8" customFormat="1">
      <c r="B2452" s="449"/>
      <c r="C2452" s="426"/>
      <c r="D2452" s="28"/>
      <c r="E2452" s="59"/>
      <c r="F2452" s="28"/>
      <c r="G2452" s="59"/>
      <c r="H2452" s="28"/>
      <c r="I2452" s="59"/>
      <c r="J2452" s="28"/>
      <c r="K2452" s="59"/>
      <c r="L2452" s="28"/>
      <c r="M2452" s="59"/>
      <c r="N2452" s="28"/>
      <c r="O2452" s="59"/>
      <c r="P2452" s="28"/>
      <c r="Q2452" s="59"/>
      <c r="R2452" s="28"/>
      <c r="S2452" s="59"/>
      <c r="T2452" s="28"/>
      <c r="U2452" s="59"/>
      <c r="V2452" s="28"/>
      <c r="W2452" s="59"/>
      <c r="X2452" s="40"/>
      <c r="Y2452" s="40"/>
      <c r="Z2452" s="40"/>
      <c r="AA2452" s="40"/>
      <c r="AB2452" s="40"/>
      <c r="AC2452" s="48"/>
      <c r="AD2452" s="48"/>
      <c r="AE2452" s="48"/>
      <c r="AF2452" s="48"/>
      <c r="AG2452" s="48"/>
      <c r="AH2452" s="48"/>
      <c r="AI2452" s="48"/>
      <c r="AJ2452" s="48"/>
      <c r="AK2452" s="48"/>
      <c r="AL2452" s="48"/>
      <c r="AM2452" s="454"/>
      <c r="AN2452" s="455"/>
      <c r="AO2452" s="454"/>
      <c r="AP2452" s="279"/>
      <c r="AQ2452" s="454"/>
      <c r="AR2452" s="279"/>
      <c r="AS2452" s="454"/>
      <c r="AT2452" s="279"/>
      <c r="AU2452" s="454"/>
    </row>
    <row r="2453" spans="2:47" s="8" customFormat="1">
      <c r="B2453" s="449"/>
      <c r="C2453" s="426"/>
      <c r="D2453" s="28"/>
      <c r="E2453" s="59"/>
      <c r="F2453" s="28"/>
      <c r="G2453" s="59"/>
      <c r="H2453" s="28"/>
      <c r="I2453" s="59"/>
      <c r="J2453" s="28"/>
      <c r="K2453" s="59"/>
      <c r="L2453" s="28"/>
      <c r="M2453" s="59"/>
      <c r="N2453" s="28"/>
      <c r="O2453" s="59"/>
      <c r="P2453" s="28"/>
      <c r="Q2453" s="59"/>
      <c r="R2453" s="28"/>
      <c r="S2453" s="59"/>
      <c r="T2453" s="28"/>
      <c r="U2453" s="59"/>
      <c r="V2453" s="28"/>
      <c r="W2453" s="59"/>
      <c r="X2453" s="40"/>
      <c r="Y2453" s="40"/>
      <c r="Z2453" s="40"/>
      <c r="AA2453" s="40"/>
      <c r="AB2453" s="40"/>
      <c r="AC2453" s="48"/>
      <c r="AD2453" s="48"/>
      <c r="AE2453" s="48"/>
      <c r="AF2453" s="48"/>
      <c r="AG2453" s="48"/>
      <c r="AH2453" s="48"/>
      <c r="AI2453" s="48"/>
      <c r="AJ2453" s="48"/>
      <c r="AK2453" s="48"/>
      <c r="AL2453" s="48"/>
      <c r="AM2453" s="454"/>
      <c r="AN2453" s="455"/>
      <c r="AO2453" s="454"/>
      <c r="AP2453" s="279"/>
      <c r="AQ2453" s="454"/>
      <c r="AR2453" s="279"/>
      <c r="AS2453" s="454"/>
      <c r="AT2453" s="279"/>
      <c r="AU2453" s="454"/>
    </row>
    <row r="2454" spans="2:47" s="8" customFormat="1">
      <c r="B2454" s="449"/>
      <c r="C2454" s="426"/>
      <c r="D2454" s="28"/>
      <c r="E2454" s="59"/>
      <c r="F2454" s="28"/>
      <c r="G2454" s="59"/>
      <c r="H2454" s="28"/>
      <c r="I2454" s="59"/>
      <c r="J2454" s="28"/>
      <c r="K2454" s="59"/>
      <c r="L2454" s="28"/>
      <c r="M2454" s="59"/>
      <c r="N2454" s="28"/>
      <c r="O2454" s="59"/>
      <c r="P2454" s="28"/>
      <c r="Q2454" s="59"/>
      <c r="R2454" s="28"/>
      <c r="S2454" s="59"/>
      <c r="T2454" s="28"/>
      <c r="U2454" s="59"/>
      <c r="V2454" s="28"/>
      <c r="W2454" s="59"/>
      <c r="X2454" s="40"/>
      <c r="Y2454" s="40"/>
      <c r="Z2454" s="40"/>
      <c r="AA2454" s="40"/>
      <c r="AB2454" s="40"/>
      <c r="AC2454" s="48"/>
      <c r="AD2454" s="48"/>
      <c r="AE2454" s="48"/>
      <c r="AF2454" s="48"/>
      <c r="AG2454" s="48"/>
      <c r="AH2454" s="48"/>
      <c r="AI2454" s="48"/>
      <c r="AJ2454" s="48"/>
      <c r="AK2454" s="48"/>
      <c r="AL2454" s="48"/>
      <c r="AM2454" s="454"/>
      <c r="AN2454" s="455"/>
      <c r="AO2454" s="454"/>
      <c r="AP2454" s="279"/>
      <c r="AQ2454" s="454"/>
      <c r="AR2454" s="279"/>
      <c r="AS2454" s="454"/>
      <c r="AT2454" s="279"/>
      <c r="AU2454" s="454"/>
    </row>
    <row r="2455" spans="2:47" s="8" customFormat="1">
      <c r="B2455" s="449"/>
      <c r="C2455" s="426"/>
      <c r="D2455" s="28"/>
      <c r="E2455" s="59"/>
      <c r="F2455" s="28"/>
      <c r="G2455" s="59"/>
      <c r="H2455" s="28"/>
      <c r="I2455" s="59"/>
      <c r="J2455" s="28"/>
      <c r="K2455" s="59"/>
      <c r="L2455" s="28"/>
      <c r="M2455" s="59"/>
      <c r="N2455" s="28"/>
      <c r="O2455" s="59"/>
      <c r="P2455" s="28"/>
      <c r="Q2455" s="59"/>
      <c r="R2455" s="28"/>
      <c r="S2455" s="59"/>
      <c r="T2455" s="28"/>
      <c r="U2455" s="59"/>
      <c r="V2455" s="28"/>
      <c r="W2455" s="59"/>
      <c r="X2455" s="40"/>
      <c r="Y2455" s="40"/>
      <c r="Z2455" s="40"/>
      <c r="AA2455" s="40"/>
      <c r="AB2455" s="40"/>
      <c r="AC2455" s="48"/>
      <c r="AD2455" s="48"/>
      <c r="AE2455" s="48"/>
      <c r="AF2455" s="48"/>
      <c r="AG2455" s="48"/>
      <c r="AH2455" s="48"/>
      <c r="AI2455" s="48"/>
      <c r="AJ2455" s="48"/>
      <c r="AK2455" s="48"/>
      <c r="AL2455" s="48"/>
      <c r="AM2455" s="454"/>
      <c r="AN2455" s="455"/>
      <c r="AO2455" s="454"/>
      <c r="AP2455" s="279"/>
      <c r="AQ2455" s="454"/>
      <c r="AR2455" s="279"/>
      <c r="AS2455" s="454"/>
      <c r="AT2455" s="279"/>
      <c r="AU2455" s="454"/>
    </row>
    <row r="2456" spans="2:47" s="8" customFormat="1">
      <c r="B2456" s="449"/>
      <c r="C2456" s="426"/>
      <c r="D2456" s="28"/>
      <c r="E2456" s="59"/>
      <c r="F2456" s="28"/>
      <c r="G2456" s="59"/>
      <c r="H2456" s="28"/>
      <c r="I2456" s="59"/>
      <c r="J2456" s="28"/>
      <c r="K2456" s="59"/>
      <c r="L2456" s="28"/>
      <c r="M2456" s="59"/>
      <c r="N2456" s="28"/>
      <c r="O2456" s="59"/>
      <c r="P2456" s="28"/>
      <c r="Q2456" s="59"/>
      <c r="R2456" s="28"/>
      <c r="S2456" s="59"/>
      <c r="T2456" s="28"/>
      <c r="U2456" s="59"/>
      <c r="V2456" s="28"/>
      <c r="W2456" s="59"/>
      <c r="X2456" s="40"/>
      <c r="Y2456" s="40"/>
      <c r="Z2456" s="40"/>
      <c r="AA2456" s="40"/>
      <c r="AB2456" s="40"/>
      <c r="AC2456" s="48"/>
      <c r="AD2456" s="48"/>
      <c r="AE2456" s="48"/>
      <c r="AF2456" s="48"/>
      <c r="AG2456" s="48"/>
      <c r="AH2456" s="48"/>
      <c r="AI2456" s="48"/>
      <c r="AJ2456" s="48"/>
      <c r="AK2456" s="48"/>
      <c r="AL2456" s="48"/>
      <c r="AM2456" s="454"/>
      <c r="AN2456" s="455"/>
      <c r="AO2456" s="454"/>
      <c r="AP2456" s="279"/>
      <c r="AQ2456" s="454"/>
      <c r="AR2456" s="279"/>
      <c r="AS2456" s="454"/>
      <c r="AT2456" s="279"/>
      <c r="AU2456" s="454"/>
    </row>
    <row r="2457" spans="2:47" s="8" customFormat="1">
      <c r="B2457" s="449"/>
      <c r="C2457" s="426"/>
      <c r="D2457" s="28"/>
      <c r="E2457" s="59"/>
      <c r="F2457" s="28"/>
      <c r="G2457" s="59"/>
      <c r="H2457" s="28"/>
      <c r="I2457" s="59"/>
      <c r="J2457" s="28"/>
      <c r="K2457" s="59"/>
      <c r="L2457" s="28"/>
      <c r="M2457" s="59"/>
      <c r="N2457" s="28"/>
      <c r="O2457" s="59"/>
      <c r="P2457" s="28"/>
      <c r="Q2457" s="59"/>
      <c r="R2457" s="28"/>
      <c r="S2457" s="59"/>
      <c r="T2457" s="28"/>
      <c r="U2457" s="59"/>
      <c r="V2457" s="28"/>
      <c r="W2457" s="59"/>
      <c r="X2457" s="40"/>
      <c r="Y2457" s="40"/>
      <c r="Z2457" s="40"/>
      <c r="AA2457" s="40"/>
      <c r="AB2457" s="40"/>
      <c r="AC2457" s="48"/>
      <c r="AD2457" s="48"/>
      <c r="AE2457" s="48"/>
      <c r="AF2457" s="48"/>
      <c r="AG2457" s="48"/>
      <c r="AH2457" s="48"/>
      <c r="AI2457" s="48"/>
      <c r="AJ2457" s="48"/>
      <c r="AK2457" s="48"/>
      <c r="AL2457" s="48"/>
      <c r="AM2457" s="454"/>
      <c r="AN2457" s="455"/>
      <c r="AO2457" s="454"/>
      <c r="AP2457" s="279"/>
      <c r="AQ2457" s="454"/>
      <c r="AR2457" s="279"/>
      <c r="AS2457" s="454"/>
      <c r="AT2457" s="279"/>
      <c r="AU2457" s="454"/>
    </row>
    <row r="2458" spans="2:47" s="8" customFormat="1">
      <c r="B2458" s="449"/>
      <c r="C2458" s="426"/>
      <c r="D2458" s="28"/>
      <c r="E2458" s="59"/>
      <c r="F2458" s="28"/>
      <c r="G2458" s="59"/>
      <c r="H2458" s="28"/>
      <c r="I2458" s="59"/>
      <c r="J2458" s="28"/>
      <c r="K2458" s="59"/>
      <c r="L2458" s="28"/>
      <c r="M2458" s="59"/>
      <c r="N2458" s="28"/>
      <c r="O2458" s="59"/>
      <c r="P2458" s="28"/>
      <c r="Q2458" s="59"/>
      <c r="R2458" s="28"/>
      <c r="S2458" s="59"/>
      <c r="T2458" s="28"/>
      <c r="U2458" s="59"/>
      <c r="V2458" s="28"/>
      <c r="W2458" s="59"/>
      <c r="X2458" s="40"/>
      <c r="Y2458" s="40"/>
      <c r="Z2458" s="40"/>
      <c r="AA2458" s="40"/>
      <c r="AB2458" s="40"/>
      <c r="AC2458" s="48"/>
      <c r="AD2458" s="48"/>
      <c r="AE2458" s="48"/>
      <c r="AF2458" s="48"/>
      <c r="AG2458" s="48"/>
      <c r="AH2458" s="48"/>
      <c r="AI2458" s="48"/>
      <c r="AJ2458" s="48"/>
      <c r="AK2458" s="48"/>
      <c r="AL2458" s="48"/>
      <c r="AM2458" s="454"/>
      <c r="AN2458" s="455"/>
      <c r="AO2458" s="454"/>
      <c r="AP2458" s="279"/>
      <c r="AQ2458" s="454"/>
      <c r="AR2458" s="279"/>
      <c r="AS2458" s="454"/>
      <c r="AT2458" s="279"/>
      <c r="AU2458" s="454"/>
    </row>
    <row r="2459" spans="2:47" s="8" customFormat="1">
      <c r="B2459" s="449"/>
      <c r="C2459" s="426"/>
      <c r="D2459" s="28"/>
      <c r="E2459" s="59"/>
      <c r="F2459" s="28"/>
      <c r="G2459" s="59"/>
      <c r="H2459" s="28"/>
      <c r="I2459" s="59"/>
      <c r="J2459" s="28"/>
      <c r="K2459" s="59"/>
      <c r="L2459" s="28"/>
      <c r="M2459" s="59"/>
      <c r="N2459" s="28"/>
      <c r="O2459" s="59"/>
      <c r="P2459" s="28"/>
      <c r="Q2459" s="59"/>
      <c r="R2459" s="28"/>
      <c r="S2459" s="59"/>
      <c r="T2459" s="28"/>
      <c r="U2459" s="59"/>
      <c r="V2459" s="28"/>
      <c r="W2459" s="59"/>
      <c r="X2459" s="40"/>
      <c r="Y2459" s="40"/>
      <c r="Z2459" s="40"/>
      <c r="AA2459" s="40"/>
      <c r="AB2459" s="40"/>
      <c r="AC2459" s="48"/>
      <c r="AD2459" s="48"/>
      <c r="AE2459" s="48"/>
      <c r="AF2459" s="48"/>
      <c r="AG2459" s="48"/>
      <c r="AH2459" s="48"/>
      <c r="AI2459" s="48"/>
      <c r="AJ2459" s="48"/>
      <c r="AK2459" s="48"/>
      <c r="AL2459" s="48"/>
      <c r="AM2459" s="454"/>
      <c r="AN2459" s="455"/>
      <c r="AO2459" s="454"/>
      <c r="AP2459" s="279"/>
      <c r="AQ2459" s="454"/>
      <c r="AR2459" s="279"/>
      <c r="AS2459" s="454"/>
      <c r="AT2459" s="279"/>
      <c r="AU2459" s="454"/>
    </row>
    <row r="2460" spans="2:47" s="8" customFormat="1">
      <c r="B2460" s="449"/>
      <c r="C2460" s="426"/>
      <c r="D2460" s="28"/>
      <c r="E2460" s="59"/>
      <c r="F2460" s="28"/>
      <c r="G2460" s="59"/>
      <c r="H2460" s="28"/>
      <c r="I2460" s="59"/>
      <c r="J2460" s="28"/>
      <c r="K2460" s="59"/>
      <c r="L2460" s="28"/>
      <c r="M2460" s="59"/>
      <c r="N2460" s="28"/>
      <c r="O2460" s="59"/>
      <c r="P2460" s="28"/>
      <c r="Q2460" s="59"/>
      <c r="R2460" s="28"/>
      <c r="S2460" s="59"/>
      <c r="T2460" s="28"/>
      <c r="U2460" s="59"/>
      <c r="V2460" s="28"/>
      <c r="W2460" s="59"/>
      <c r="X2460" s="40"/>
      <c r="Y2460" s="40"/>
      <c r="Z2460" s="40"/>
      <c r="AA2460" s="40"/>
      <c r="AB2460" s="40"/>
      <c r="AC2460" s="48"/>
      <c r="AD2460" s="48"/>
      <c r="AE2460" s="48"/>
      <c r="AF2460" s="48"/>
      <c r="AG2460" s="48"/>
      <c r="AH2460" s="48"/>
      <c r="AI2460" s="48"/>
      <c r="AJ2460" s="48"/>
      <c r="AK2460" s="48"/>
      <c r="AL2460" s="48"/>
      <c r="AM2460" s="454"/>
      <c r="AN2460" s="455"/>
      <c r="AO2460" s="454"/>
      <c r="AP2460" s="279"/>
      <c r="AQ2460" s="454"/>
      <c r="AR2460" s="279"/>
      <c r="AS2460" s="454"/>
      <c r="AT2460" s="279"/>
      <c r="AU2460" s="454"/>
    </row>
    <row r="2461" spans="2:47" s="8" customFormat="1">
      <c r="B2461" s="449"/>
      <c r="C2461" s="426"/>
      <c r="D2461" s="28"/>
      <c r="E2461" s="59"/>
      <c r="F2461" s="28"/>
      <c r="G2461" s="59"/>
      <c r="H2461" s="28"/>
      <c r="I2461" s="59"/>
      <c r="J2461" s="28"/>
      <c r="K2461" s="59"/>
      <c r="L2461" s="28"/>
      <c r="M2461" s="59"/>
      <c r="N2461" s="28"/>
      <c r="O2461" s="59"/>
      <c r="P2461" s="28"/>
      <c r="Q2461" s="59"/>
      <c r="R2461" s="28"/>
      <c r="S2461" s="59"/>
      <c r="T2461" s="28"/>
      <c r="U2461" s="59"/>
      <c r="V2461" s="28"/>
      <c r="W2461" s="59"/>
      <c r="X2461" s="40"/>
      <c r="Y2461" s="40"/>
      <c r="Z2461" s="40"/>
      <c r="AA2461" s="40"/>
      <c r="AB2461" s="40"/>
      <c r="AC2461" s="48"/>
      <c r="AD2461" s="48"/>
      <c r="AE2461" s="48"/>
      <c r="AF2461" s="48"/>
      <c r="AG2461" s="48"/>
      <c r="AH2461" s="48"/>
      <c r="AI2461" s="48"/>
      <c r="AJ2461" s="48"/>
      <c r="AK2461" s="48"/>
      <c r="AL2461" s="48"/>
      <c r="AM2461" s="454"/>
      <c r="AN2461" s="455"/>
      <c r="AO2461" s="454"/>
      <c r="AP2461" s="279"/>
      <c r="AQ2461" s="454"/>
      <c r="AR2461" s="279"/>
      <c r="AS2461" s="454"/>
      <c r="AT2461" s="279"/>
      <c r="AU2461" s="454"/>
    </row>
    <row r="2462" spans="2:47" s="48" customFormat="1">
      <c r="B2462" s="449"/>
      <c r="C2462" s="426"/>
      <c r="D2462" s="28"/>
      <c r="E2462" s="59"/>
      <c r="F2462" s="28"/>
      <c r="G2462" s="59"/>
      <c r="H2462" s="28"/>
      <c r="I2462" s="59"/>
      <c r="J2462" s="28"/>
      <c r="K2462" s="59"/>
      <c r="L2462" s="28"/>
      <c r="M2462" s="59"/>
      <c r="N2462" s="28"/>
      <c r="O2462" s="59"/>
      <c r="P2462" s="28"/>
      <c r="Q2462" s="59"/>
      <c r="R2462" s="28"/>
      <c r="S2462" s="59"/>
      <c r="T2462" s="28"/>
      <c r="U2462" s="59"/>
      <c r="V2462" s="28"/>
      <c r="W2462" s="59"/>
      <c r="X2462" s="399"/>
      <c r="Y2462" s="399"/>
      <c r="Z2462" s="399"/>
      <c r="AA2462" s="399"/>
      <c r="AB2462" s="399"/>
      <c r="AM2462" s="452"/>
      <c r="AN2462" s="453"/>
      <c r="AO2462" s="452"/>
      <c r="AP2462" s="56"/>
      <c r="AQ2462" s="452"/>
      <c r="AR2462" s="56"/>
      <c r="AS2462" s="452"/>
      <c r="AT2462" s="56"/>
      <c r="AU2462" s="452"/>
    </row>
    <row r="2463" spans="2:47" s="48" customFormat="1">
      <c r="B2463" s="449"/>
      <c r="C2463" s="426"/>
      <c r="D2463" s="28"/>
      <c r="E2463" s="59"/>
      <c r="F2463" s="28"/>
      <c r="G2463" s="59"/>
      <c r="H2463" s="28"/>
      <c r="I2463" s="59"/>
      <c r="J2463" s="28"/>
      <c r="K2463" s="59"/>
      <c r="L2463" s="28"/>
      <c r="M2463" s="59"/>
      <c r="N2463" s="28"/>
      <c r="O2463" s="59"/>
      <c r="P2463" s="28"/>
      <c r="Q2463" s="59"/>
      <c r="R2463" s="28"/>
      <c r="S2463" s="59"/>
      <c r="T2463" s="28"/>
      <c r="U2463" s="59"/>
      <c r="V2463" s="28"/>
      <c r="W2463" s="59"/>
      <c r="X2463" s="399"/>
      <c r="Y2463" s="399"/>
      <c r="Z2463" s="399"/>
      <c r="AA2463" s="399"/>
      <c r="AB2463" s="399"/>
      <c r="AM2463" s="452"/>
      <c r="AN2463" s="453"/>
      <c r="AO2463" s="452"/>
      <c r="AP2463" s="56"/>
      <c r="AQ2463" s="452"/>
      <c r="AR2463" s="56"/>
      <c r="AS2463" s="452"/>
      <c r="AT2463" s="56"/>
      <c r="AU2463" s="452"/>
    </row>
    <row r="2464" spans="2:47" s="48" customFormat="1">
      <c r="B2464" s="449"/>
      <c r="C2464" s="426"/>
      <c r="D2464" s="28"/>
      <c r="E2464" s="59"/>
      <c r="F2464" s="28"/>
      <c r="G2464" s="59"/>
      <c r="H2464" s="28"/>
      <c r="I2464" s="59"/>
      <c r="J2464" s="28"/>
      <c r="K2464" s="59"/>
      <c r="L2464" s="28"/>
      <c r="M2464" s="59"/>
      <c r="N2464" s="28"/>
      <c r="O2464" s="59"/>
      <c r="P2464" s="28"/>
      <c r="Q2464" s="59"/>
      <c r="R2464" s="28"/>
      <c r="S2464" s="59"/>
      <c r="T2464" s="28"/>
      <c r="U2464" s="59"/>
      <c r="V2464" s="28"/>
      <c r="W2464" s="59"/>
      <c r="X2464" s="399"/>
      <c r="Y2464" s="399"/>
      <c r="Z2464" s="399"/>
      <c r="AA2464" s="399"/>
      <c r="AB2464" s="399"/>
      <c r="AM2464" s="452"/>
      <c r="AN2464" s="453"/>
      <c r="AO2464" s="452"/>
      <c r="AP2464" s="56"/>
      <c r="AQ2464" s="452"/>
      <c r="AR2464" s="56"/>
      <c r="AS2464" s="452"/>
      <c r="AT2464" s="56"/>
      <c r="AU2464" s="452"/>
    </row>
    <row r="2465" spans="1:47" s="48" customFormat="1">
      <c r="B2465" s="449"/>
      <c r="C2465" s="426"/>
      <c r="D2465" s="28"/>
      <c r="E2465" s="59"/>
      <c r="F2465" s="28"/>
      <c r="G2465" s="59"/>
      <c r="H2465" s="28"/>
      <c r="I2465" s="59"/>
      <c r="J2465" s="28"/>
      <c r="K2465" s="59"/>
      <c r="L2465" s="28"/>
      <c r="M2465" s="59"/>
      <c r="N2465" s="28"/>
      <c r="O2465" s="59"/>
      <c r="P2465" s="28"/>
      <c r="Q2465" s="59"/>
      <c r="R2465" s="28"/>
      <c r="S2465" s="59"/>
      <c r="T2465" s="28"/>
      <c r="U2465" s="59"/>
      <c r="V2465" s="28"/>
      <c r="W2465" s="59"/>
      <c r="X2465" s="399"/>
      <c r="Y2465" s="399"/>
      <c r="Z2465" s="399"/>
      <c r="AA2465" s="399"/>
      <c r="AB2465" s="399"/>
      <c r="AM2465" s="452"/>
      <c r="AN2465" s="453"/>
      <c r="AO2465" s="452"/>
      <c r="AP2465" s="56"/>
      <c r="AQ2465" s="452"/>
      <c r="AR2465" s="56"/>
      <c r="AS2465" s="452"/>
      <c r="AT2465" s="56"/>
      <c r="AU2465" s="452"/>
    </row>
    <row r="2466" spans="1:47" s="48" customFormat="1">
      <c r="B2466" s="449"/>
      <c r="C2466" s="426"/>
      <c r="D2466" s="28"/>
      <c r="E2466" s="59"/>
      <c r="F2466" s="28"/>
      <c r="G2466" s="59"/>
      <c r="H2466" s="28"/>
      <c r="I2466" s="59"/>
      <c r="J2466" s="28"/>
      <c r="K2466" s="59"/>
      <c r="L2466" s="28"/>
      <c r="M2466" s="59"/>
      <c r="N2466" s="28"/>
      <c r="O2466" s="59"/>
      <c r="P2466" s="28"/>
      <c r="Q2466" s="59"/>
      <c r="R2466" s="28"/>
      <c r="S2466" s="59"/>
      <c r="T2466" s="28"/>
      <c r="U2466" s="59"/>
      <c r="V2466" s="28"/>
      <c r="W2466" s="59"/>
      <c r="X2466" s="399"/>
      <c r="Y2466" s="399"/>
      <c r="Z2466" s="399"/>
      <c r="AA2466" s="399"/>
      <c r="AB2466" s="399"/>
      <c r="AM2466" s="452"/>
      <c r="AN2466" s="453"/>
      <c r="AO2466" s="452"/>
      <c r="AP2466" s="56"/>
      <c r="AQ2466" s="452"/>
      <c r="AR2466" s="56"/>
      <c r="AS2466" s="452"/>
      <c r="AT2466" s="56"/>
      <c r="AU2466" s="452"/>
    </row>
    <row r="2467" spans="1:47" s="48" customFormat="1">
      <c r="B2467" s="449"/>
      <c r="C2467" s="426"/>
      <c r="D2467" s="28"/>
      <c r="E2467" s="59"/>
      <c r="F2467" s="28"/>
      <c r="G2467" s="59"/>
      <c r="H2467" s="28"/>
      <c r="I2467" s="59"/>
      <c r="J2467" s="28"/>
      <c r="K2467" s="59"/>
      <c r="L2467" s="28"/>
      <c r="M2467" s="59"/>
      <c r="N2467" s="28"/>
      <c r="O2467" s="59"/>
      <c r="P2467" s="28"/>
      <c r="Q2467" s="59"/>
      <c r="R2467" s="28"/>
      <c r="S2467" s="59"/>
      <c r="T2467" s="28"/>
      <c r="U2467" s="59"/>
      <c r="V2467" s="28"/>
      <c r="W2467" s="59"/>
      <c r="X2467" s="399"/>
      <c r="Y2467" s="399"/>
      <c r="Z2467" s="399"/>
      <c r="AA2467" s="399"/>
      <c r="AB2467" s="399"/>
      <c r="AM2467" s="452"/>
      <c r="AN2467" s="453"/>
      <c r="AO2467" s="452"/>
      <c r="AP2467" s="56"/>
      <c r="AQ2467" s="452"/>
      <c r="AR2467" s="56"/>
      <c r="AS2467" s="452"/>
      <c r="AT2467" s="56"/>
      <c r="AU2467" s="452"/>
    </row>
    <row r="2468" spans="1:47" s="48" customFormat="1">
      <c r="B2468" s="449"/>
      <c r="C2468" s="426"/>
      <c r="D2468" s="28"/>
      <c r="E2468" s="59"/>
      <c r="F2468" s="28"/>
      <c r="G2468" s="59"/>
      <c r="H2468" s="28"/>
      <c r="I2468" s="59"/>
      <c r="J2468" s="28"/>
      <c r="K2468" s="59"/>
      <c r="L2468" s="28"/>
      <c r="M2468" s="59"/>
      <c r="N2468" s="28"/>
      <c r="O2468" s="59"/>
      <c r="P2468" s="28"/>
      <c r="Q2468" s="59"/>
      <c r="R2468" s="28"/>
      <c r="S2468" s="59"/>
      <c r="T2468" s="28"/>
      <c r="U2468" s="59"/>
      <c r="V2468" s="28"/>
      <c r="W2468" s="59"/>
      <c r="X2468" s="399"/>
      <c r="Y2468" s="399"/>
      <c r="Z2468" s="399"/>
      <c r="AA2468" s="399"/>
      <c r="AB2468" s="399"/>
      <c r="AM2468" s="452"/>
      <c r="AN2468" s="453"/>
      <c r="AO2468" s="452"/>
      <c r="AP2468" s="56"/>
      <c r="AQ2468" s="452"/>
      <c r="AR2468" s="56"/>
      <c r="AS2468" s="452"/>
      <c r="AT2468" s="56"/>
      <c r="AU2468" s="452"/>
    </row>
    <row r="2469" spans="1:47" s="8" customFormat="1">
      <c r="B2469" s="549" t="str">
        <f>TITLE!C45</f>
        <v>Дверна коробка Verto-FIT Comfort Inside</v>
      </c>
      <c r="C2469" s="550"/>
      <c r="D2469" s="117"/>
      <c r="E2469" s="551" t="str">
        <f>IF($C$1="ENG","For Door Leafs inside","Для Дверних Полотен Внутрішнього відкривання")</f>
        <v>Для Дверних Полотен Внутрішнього відкривання</v>
      </c>
      <c r="F2469" s="551"/>
      <c r="G2469" s="551"/>
      <c r="H2469" s="551"/>
      <c r="I2469" s="551"/>
      <c r="J2469" s="551"/>
      <c r="K2469" s="551"/>
      <c r="L2469" s="552"/>
      <c r="M2469" s="552"/>
      <c r="N2469" s="552"/>
      <c r="O2469" s="552"/>
      <c r="P2469" s="552"/>
      <c r="Q2469" s="552"/>
      <c r="R2469" s="552"/>
      <c r="S2469" s="552"/>
      <c r="T2469" s="545" t="str">
        <f>IF($C$1="ENG",CONCATENATE("up to: ",B2380),CONCATENATE("вгору до: ",B2380))</f>
        <v xml:space="preserve">вгору до: </v>
      </c>
      <c r="U2469" s="545"/>
      <c r="V2469" s="545"/>
      <c r="W2469" s="545"/>
      <c r="AC2469" s="1"/>
      <c r="AE2469" s="1"/>
      <c r="AF2469" s="1"/>
      <c r="AG2469" s="1"/>
      <c r="AI2469" s="1"/>
      <c r="AK2469" s="1"/>
      <c r="AN2469" s="279"/>
      <c r="AO2469" s="279"/>
      <c r="AP2469" s="279"/>
      <c r="AQ2469" s="279"/>
      <c r="AR2469" s="279"/>
      <c r="AS2469" s="279"/>
      <c r="AT2469" s="279"/>
    </row>
    <row r="2470" spans="1:47" s="8" customFormat="1" ht="5.0999999999999996" customHeight="1">
      <c r="C2470" s="422"/>
      <c r="T2470" s="444"/>
      <c r="U2470" s="444"/>
      <c r="V2470" s="444"/>
      <c r="W2470" s="444"/>
      <c r="AN2470" s="279"/>
      <c r="AO2470" s="279"/>
      <c r="AP2470" s="279"/>
      <c r="AQ2470" s="279"/>
      <c r="AR2470" s="279"/>
      <c r="AS2470" s="279"/>
      <c r="AT2470" s="279"/>
    </row>
    <row r="2471" spans="1:47" ht="12.75" customHeight="1">
      <c r="A2471" s="8"/>
      <c r="B2471" s="306" t="str">
        <f>IF($C$1="ENG","model","модель")</f>
        <v>модель</v>
      </c>
      <c r="C2471" s="121" t="str">
        <f>IF($C$1="ENG","cover:","покриття:")</f>
        <v>покриття:</v>
      </c>
      <c r="D2471" s="538" t="str">
        <f>IF($C$1="ENG","SIMPLEX / VERTO-CELL","SIMPLEX / VERTO-CELL ")</f>
        <v xml:space="preserve">SIMPLEX / VERTO-CELL </v>
      </c>
      <c r="E2471" s="553"/>
      <c r="F2471" s="553"/>
      <c r="G2471" s="539"/>
      <c r="H2471" s="538" t="str">
        <f>IF($C$1="ENG","UNI-MAT","UNI-MAT")</f>
        <v>UNI-MAT</v>
      </c>
      <c r="I2471" s="553"/>
      <c r="J2471" s="553"/>
      <c r="K2471" s="539"/>
      <c r="L2471" s="538" t="str">
        <f>IF($C$1="ENG","RESIST","RESIST")</f>
        <v>RESIST</v>
      </c>
      <c r="M2471" s="553"/>
      <c r="N2471" s="553"/>
      <c r="O2471" s="539"/>
      <c r="AL2471" s="30"/>
      <c r="AM2471" s="382">
        <v>0.15</v>
      </c>
      <c r="AS2471" s="1"/>
      <c r="AT2471" s="1"/>
    </row>
    <row r="2472" spans="1:47" ht="12.75" customHeight="1">
      <c r="A2472" s="8"/>
      <c r="B2472" s="307"/>
      <c r="C2472" s="123" t="str">
        <f>IF($C$1="ENG","type:","виконання:")</f>
        <v>виконання:</v>
      </c>
      <c r="D2472" s="542" t="str">
        <f>IF($C$1="ENG","single leaf","одностулкове")</f>
        <v>одностулкове</v>
      </c>
      <c r="E2472" s="547"/>
      <c r="F2472" s="448"/>
      <c r="G2472" s="446"/>
      <c r="H2472" s="542" t="str">
        <f>IF($C$1="ENG","single leaf","одностулкове")</f>
        <v>одностулкове</v>
      </c>
      <c r="I2472" s="547"/>
      <c r="J2472" s="448"/>
      <c r="K2472" s="446"/>
      <c r="L2472" s="542" t="str">
        <f>IF($C$1="ENG","single leaf","одностулкове")</f>
        <v>одностулкове</v>
      </c>
      <c r="M2472" s="547"/>
      <c r="N2472" s="548"/>
      <c r="O2472" s="543"/>
      <c r="AL2472" s="30"/>
      <c r="AM2472" s="30"/>
      <c r="AS2472" s="1"/>
      <c r="AT2472" s="1"/>
    </row>
    <row r="2473" spans="1:47" ht="12.75" customHeight="1">
      <c r="A2473" s="8"/>
      <c r="B2473" s="13" t="str">
        <f>IF($C$1="ENG","A (75 - 95 mm)","A (75 - 95 мм)")</f>
        <v>A (75 - 95 мм)</v>
      </c>
      <c r="C2473" s="447"/>
      <c r="D2473" s="15">
        <f t="shared" ref="D2473:D2481" si="380">IF(AA2473="","",(1-$W$2)*(AA2473/1.2))</f>
        <v>2908.3333333333335</v>
      </c>
      <c r="E2473" s="266">
        <f t="shared" ref="E2473:E2481" si="381">IF($W$5=0.2,D2473*1.2,D2473)/$W$4</f>
        <v>3490</v>
      </c>
      <c r="F2473" s="269"/>
      <c r="G2473" s="64"/>
      <c r="H2473" s="15">
        <f t="shared" ref="H2473:H2481" si="382">IF(AC2473="","",(1-$W$2)*(AC2473/1.2))</f>
        <v>3341.666666666667</v>
      </c>
      <c r="I2473" s="266">
        <f t="shared" ref="I2473:I2481" si="383">IF($W$5=0.2,H2473*1.2,H2473)/$W$4</f>
        <v>4010</v>
      </c>
      <c r="J2473" s="269"/>
      <c r="K2473" s="64"/>
      <c r="L2473" s="15">
        <f t="shared" ref="L2473:L2481" si="384">IF(AE2473="","",(1-$W$2)*(AE2473/1.2))</f>
        <v>3550</v>
      </c>
      <c r="M2473" s="266">
        <f t="shared" ref="M2473:M2481" si="385">IF($W$5=0.2,L2473*1.2,L2473)/$W$4</f>
        <v>4260</v>
      </c>
      <c r="N2473" s="269"/>
      <c r="O2473" s="64"/>
      <c r="P2473" s="22"/>
      <c r="Q2473" s="22"/>
      <c r="R2473" s="22"/>
      <c r="S2473" s="22"/>
      <c r="T2473" s="22"/>
      <c r="U2473" s="22"/>
      <c r="V2473" s="22"/>
      <c r="W2473" s="22"/>
      <c r="X2473" s="22"/>
      <c r="Y2473" s="22"/>
      <c r="Z2473" s="22"/>
      <c r="AA2473" s="331">
        <v>3490</v>
      </c>
      <c r="AB2473" s="331"/>
      <c r="AC2473" s="331">
        <v>4010</v>
      </c>
      <c r="AD2473" s="331"/>
      <c r="AE2473" s="331">
        <v>4260</v>
      </c>
      <c r="AF2473" s="331"/>
      <c r="AG2473" s="331">
        <v>4610</v>
      </c>
      <c r="AH2473" s="331"/>
      <c r="AI2473" s="331">
        <v>4930</v>
      </c>
      <c r="AJ2473" s="288"/>
      <c r="AK2473" s="385">
        <v>3570</v>
      </c>
      <c r="AL2473" s="309">
        <f>AK2473/AA2473-1</f>
        <v>2.2922636103151817E-2</v>
      </c>
      <c r="AM2473" s="385">
        <f>AB2473/100*13+AB2473</f>
        <v>0</v>
      </c>
      <c r="AN2473" s="30" t="e">
        <f>AM2473/AB2473-1</f>
        <v>#DIV/0!</v>
      </c>
      <c r="AO2473" s="385">
        <v>4101</v>
      </c>
      <c r="AP2473" s="30">
        <f>AO2473/AC2473-1</f>
        <v>2.2693266832917613E-2</v>
      </c>
      <c r="AQ2473" s="385">
        <f>AD2473/100*13+AD2473</f>
        <v>0</v>
      </c>
      <c r="AR2473" s="30" t="e">
        <f>AQ2473/AD2473-1</f>
        <v>#DIV/0!</v>
      </c>
      <c r="AS2473" s="385">
        <v>4320</v>
      </c>
      <c r="AT2473" s="1">
        <f>AS2473/AE2473-1</f>
        <v>1.4084507042253502E-2</v>
      </c>
      <c r="AU2473" s="1">
        <f>AF2473/100*13+AF2473</f>
        <v>0</v>
      </c>
    </row>
    <row r="2474" spans="1:47">
      <c r="A2474" s="8"/>
      <c r="B2474" s="16" t="str">
        <f>IF($C$1="ENG","B (95 - 115 mm)","B (95 - 115 мм)")</f>
        <v>B (95 - 115 мм)</v>
      </c>
      <c r="C2474" s="430"/>
      <c r="D2474" s="18">
        <f t="shared" si="380"/>
        <v>3066.666666666667</v>
      </c>
      <c r="E2474" s="267">
        <f t="shared" si="381"/>
        <v>3680.0000000000005</v>
      </c>
      <c r="F2474" s="270"/>
      <c r="G2474" s="66"/>
      <c r="H2474" s="18">
        <f t="shared" si="382"/>
        <v>3533.3333333333335</v>
      </c>
      <c r="I2474" s="267">
        <f t="shared" si="383"/>
        <v>4240</v>
      </c>
      <c r="J2474" s="270"/>
      <c r="K2474" s="66"/>
      <c r="L2474" s="18">
        <f t="shared" si="384"/>
        <v>3733.3333333333335</v>
      </c>
      <c r="M2474" s="267">
        <f t="shared" si="385"/>
        <v>4480</v>
      </c>
      <c r="N2474" s="270"/>
      <c r="O2474" s="66"/>
      <c r="P2474" s="22"/>
      <c r="Q2474" s="22"/>
      <c r="R2474" s="22"/>
      <c r="S2474" s="22"/>
      <c r="T2474" s="22"/>
      <c r="U2474" s="22"/>
      <c r="V2474" s="22"/>
      <c r="W2474" s="22"/>
      <c r="X2474" s="22"/>
      <c r="Y2474" s="22"/>
      <c r="Z2474" s="22"/>
      <c r="AA2474" s="331">
        <v>3680</v>
      </c>
      <c r="AB2474" s="331"/>
      <c r="AC2474" s="331">
        <v>4240</v>
      </c>
      <c r="AD2474" s="331"/>
      <c r="AE2474" s="331">
        <v>4480</v>
      </c>
      <c r="AF2474" s="331"/>
      <c r="AG2474" s="331">
        <v>4840</v>
      </c>
      <c r="AH2474" s="331"/>
      <c r="AI2474" s="331">
        <v>5170</v>
      </c>
      <c r="AJ2474" s="288"/>
      <c r="AK2474" s="385">
        <v>3740</v>
      </c>
      <c r="AL2474" s="30">
        <f t="shared" ref="AL2474:AL2481" si="386">AK2474/AA2474-1</f>
        <v>1.6304347826086918E-2</v>
      </c>
      <c r="AM2474" s="385">
        <f t="shared" ref="AM2474:AM2481" si="387">AB2474/100*13+AB2474</f>
        <v>0</v>
      </c>
      <c r="AN2474" s="30" t="e">
        <f t="shared" ref="AN2474:AN2481" si="388">AM2474/AB2474-1</f>
        <v>#DIV/0!</v>
      </c>
      <c r="AO2474" s="385">
        <v>4310</v>
      </c>
      <c r="AP2474" s="30">
        <f t="shared" ref="AP2474:AP2481" si="389">AO2474/AC2474-1</f>
        <v>1.6509433962264231E-2</v>
      </c>
      <c r="AQ2474" s="385">
        <f t="shared" ref="AQ2474:AQ2481" si="390">AD2474/100*13+AD2474</f>
        <v>0</v>
      </c>
      <c r="AR2474" s="30" t="e">
        <f t="shared" ref="AR2474:AR2481" si="391">AQ2474/AD2474-1</f>
        <v>#DIV/0!</v>
      </c>
      <c r="AS2474" s="385">
        <v>4520</v>
      </c>
      <c r="AT2474" s="1">
        <f t="shared" ref="AT2474:AT2481" si="392">AS2474/AE2474-1</f>
        <v>8.9285714285713969E-3</v>
      </c>
      <c r="AU2474" s="1">
        <f t="shared" ref="AU2474:AU2481" si="393">AF2474/100*13+AF2474</f>
        <v>0</v>
      </c>
    </row>
    <row r="2475" spans="1:47">
      <c r="A2475" s="8"/>
      <c r="B2475" s="16" t="str">
        <f>IF($C$1="ENG","B+ (100 - 120 mm)","B+ (100 - 120 мм)")</f>
        <v>B+ (100 - 120 мм)</v>
      </c>
      <c r="C2475" s="430"/>
      <c r="D2475" s="18">
        <f t="shared" si="380"/>
        <v>3150</v>
      </c>
      <c r="E2475" s="267">
        <f t="shared" si="381"/>
        <v>3780</v>
      </c>
      <c r="F2475" s="270"/>
      <c r="G2475" s="66"/>
      <c r="H2475" s="18">
        <f t="shared" si="382"/>
        <v>3633.3333333333335</v>
      </c>
      <c r="I2475" s="267">
        <f t="shared" si="383"/>
        <v>4360</v>
      </c>
      <c r="J2475" s="270"/>
      <c r="K2475" s="66"/>
      <c r="L2475" s="18">
        <f t="shared" si="384"/>
        <v>3841.666666666667</v>
      </c>
      <c r="M2475" s="267">
        <f t="shared" si="385"/>
        <v>4610</v>
      </c>
      <c r="N2475" s="270"/>
      <c r="O2475" s="66"/>
      <c r="P2475" s="22"/>
      <c r="Q2475" s="22"/>
      <c r="R2475" s="22"/>
      <c r="S2475" s="22"/>
      <c r="T2475" s="22"/>
      <c r="U2475" s="22"/>
      <c r="V2475" s="22"/>
      <c r="W2475" s="22"/>
      <c r="X2475" s="22"/>
      <c r="Y2475" s="22"/>
      <c r="Z2475" s="22"/>
      <c r="AA2475" s="331">
        <v>3780</v>
      </c>
      <c r="AB2475" s="331"/>
      <c r="AC2475" s="331">
        <v>4360</v>
      </c>
      <c r="AD2475" s="331"/>
      <c r="AE2475" s="331">
        <v>4610</v>
      </c>
      <c r="AF2475" s="331"/>
      <c r="AG2475" s="331">
        <v>4950</v>
      </c>
      <c r="AH2475" s="331"/>
      <c r="AI2475" s="331">
        <v>5280</v>
      </c>
      <c r="AJ2475" s="288"/>
      <c r="AK2475" s="385">
        <v>3820</v>
      </c>
      <c r="AL2475" s="309">
        <f t="shared" si="386"/>
        <v>1.0582010582010692E-2</v>
      </c>
      <c r="AM2475" s="385">
        <f t="shared" si="387"/>
        <v>0</v>
      </c>
      <c r="AN2475" s="309" t="e">
        <f t="shared" si="388"/>
        <v>#DIV/0!</v>
      </c>
      <c r="AO2475" s="385">
        <v>4400</v>
      </c>
      <c r="AP2475" s="30">
        <f t="shared" si="389"/>
        <v>9.1743119266054496E-3</v>
      </c>
      <c r="AQ2475" s="385">
        <f t="shared" si="390"/>
        <v>0</v>
      </c>
      <c r="AR2475" s="30" t="e">
        <f t="shared" si="391"/>
        <v>#DIV/0!</v>
      </c>
      <c r="AS2475" s="385">
        <v>4630</v>
      </c>
      <c r="AT2475" s="1">
        <f t="shared" si="392"/>
        <v>4.3383947939261702E-3</v>
      </c>
      <c r="AU2475" s="1">
        <f t="shared" si="393"/>
        <v>0</v>
      </c>
    </row>
    <row r="2476" spans="1:47">
      <c r="A2476" s="8"/>
      <c r="B2476" s="16" t="str">
        <f>IF($C$1="ENG","C (120 - 140 mm)","C (120 - 140 мм)")</f>
        <v>C (120 - 140 мм)</v>
      </c>
      <c r="C2476" s="430"/>
      <c r="D2476" s="18">
        <f t="shared" si="380"/>
        <v>3225</v>
      </c>
      <c r="E2476" s="267">
        <f t="shared" si="381"/>
        <v>3870</v>
      </c>
      <c r="F2476" s="270"/>
      <c r="G2476" s="66"/>
      <c r="H2476" s="18">
        <f t="shared" si="382"/>
        <v>3708.3333333333335</v>
      </c>
      <c r="I2476" s="267">
        <f t="shared" si="383"/>
        <v>4450</v>
      </c>
      <c r="J2476" s="270"/>
      <c r="K2476" s="66"/>
      <c r="L2476" s="18">
        <f t="shared" si="384"/>
        <v>3925</v>
      </c>
      <c r="M2476" s="267">
        <f t="shared" si="385"/>
        <v>4710</v>
      </c>
      <c r="N2476" s="270"/>
      <c r="O2476" s="66"/>
      <c r="P2476" s="22"/>
      <c r="Q2476" s="22"/>
      <c r="R2476" s="22"/>
      <c r="S2476" s="22"/>
      <c r="T2476" s="22"/>
      <c r="U2476" s="22"/>
      <c r="V2476" s="22"/>
      <c r="W2476" s="22"/>
      <c r="X2476" s="22"/>
      <c r="Y2476" s="22"/>
      <c r="Z2476" s="22"/>
      <c r="AA2476" s="331">
        <v>3870</v>
      </c>
      <c r="AB2476" s="331"/>
      <c r="AC2476" s="331">
        <v>4450</v>
      </c>
      <c r="AD2476" s="331"/>
      <c r="AE2476" s="331">
        <v>4710</v>
      </c>
      <c r="AF2476" s="331"/>
      <c r="AG2476" s="331">
        <v>5060</v>
      </c>
      <c r="AH2476" s="331"/>
      <c r="AI2476" s="331">
        <v>5400</v>
      </c>
      <c r="AJ2476" s="288"/>
      <c r="AK2476" s="385">
        <v>3910</v>
      </c>
      <c r="AL2476" s="309">
        <f t="shared" si="386"/>
        <v>1.0335917312661591E-2</v>
      </c>
      <c r="AM2476" s="385">
        <f t="shared" si="387"/>
        <v>0</v>
      </c>
      <c r="AN2476" s="30" t="e">
        <f t="shared" si="388"/>
        <v>#DIV/0!</v>
      </c>
      <c r="AO2476" s="385">
        <v>4400</v>
      </c>
      <c r="AP2476" s="30">
        <f t="shared" si="389"/>
        <v>-1.1235955056179803E-2</v>
      </c>
      <c r="AQ2476" s="385">
        <f t="shared" si="390"/>
        <v>0</v>
      </c>
      <c r="AR2476" s="30" t="e">
        <f t="shared" si="391"/>
        <v>#DIV/0!</v>
      </c>
      <c r="AS2476" s="385">
        <v>4710</v>
      </c>
      <c r="AT2476" s="1">
        <f t="shared" si="392"/>
        <v>0</v>
      </c>
      <c r="AU2476" s="1">
        <f t="shared" si="393"/>
        <v>0</v>
      </c>
    </row>
    <row r="2477" spans="1:47">
      <c r="A2477" s="8"/>
      <c r="B2477" s="16" t="str">
        <f>IF($C$1="ENG","D (140 - 160 mm)","D (140 - 160 мм)")</f>
        <v>D (140 - 160 мм)</v>
      </c>
      <c r="C2477" s="430"/>
      <c r="D2477" s="18">
        <f t="shared" si="380"/>
        <v>3400</v>
      </c>
      <c r="E2477" s="267">
        <f t="shared" si="381"/>
        <v>4080</v>
      </c>
      <c r="F2477" s="270"/>
      <c r="G2477" s="66"/>
      <c r="H2477" s="18">
        <f t="shared" si="382"/>
        <v>3916.666666666667</v>
      </c>
      <c r="I2477" s="267">
        <f t="shared" si="383"/>
        <v>4700</v>
      </c>
      <c r="J2477" s="270"/>
      <c r="K2477" s="66"/>
      <c r="L2477" s="18">
        <f t="shared" si="384"/>
        <v>4100</v>
      </c>
      <c r="M2477" s="267">
        <f t="shared" si="385"/>
        <v>4920</v>
      </c>
      <c r="N2477" s="270"/>
      <c r="O2477" s="66"/>
      <c r="P2477" s="22"/>
      <c r="Q2477" s="22"/>
      <c r="R2477" s="22"/>
      <c r="S2477" s="22"/>
      <c r="T2477" s="22"/>
      <c r="U2477" s="22"/>
      <c r="V2477" s="22"/>
      <c r="W2477" s="22"/>
      <c r="X2477" s="22"/>
      <c r="Y2477" s="22"/>
      <c r="Z2477" s="22"/>
      <c r="AA2477" s="331">
        <v>4080</v>
      </c>
      <c r="AB2477" s="331"/>
      <c r="AC2477" s="331">
        <v>4700</v>
      </c>
      <c r="AD2477" s="331"/>
      <c r="AE2477" s="331">
        <v>4920</v>
      </c>
      <c r="AF2477" s="331"/>
      <c r="AG2477" s="331">
        <v>5290</v>
      </c>
      <c r="AH2477" s="331"/>
      <c r="AI2477" s="331">
        <v>5650</v>
      </c>
      <c r="AJ2477" s="288"/>
      <c r="AK2477" s="385">
        <v>4080</v>
      </c>
      <c r="AL2477" s="309">
        <f t="shared" si="386"/>
        <v>0</v>
      </c>
      <c r="AM2477" s="385">
        <f t="shared" si="387"/>
        <v>0</v>
      </c>
      <c r="AN2477" s="30" t="e">
        <f t="shared" si="388"/>
        <v>#DIV/0!</v>
      </c>
      <c r="AO2477" s="385">
        <v>4690</v>
      </c>
      <c r="AP2477" s="30">
        <f t="shared" si="389"/>
        <v>-2.1276595744680327E-3</v>
      </c>
      <c r="AQ2477" s="385">
        <f t="shared" si="390"/>
        <v>0</v>
      </c>
      <c r="AR2477" s="30" t="e">
        <f t="shared" si="391"/>
        <v>#DIV/0!</v>
      </c>
      <c r="AS2477" s="385">
        <v>4930</v>
      </c>
      <c r="AT2477" s="1">
        <f t="shared" si="392"/>
        <v>2.0325203252031798E-3</v>
      </c>
      <c r="AU2477" s="1">
        <f t="shared" si="393"/>
        <v>0</v>
      </c>
    </row>
    <row r="2478" spans="1:47">
      <c r="A2478" s="8"/>
      <c r="B2478" s="16" t="str">
        <f>IF($C$1="ENG","E (160 - 180 mm)","E (160 - 180 мм)")</f>
        <v>E (160 - 180 мм)</v>
      </c>
      <c r="C2478" s="430"/>
      <c r="D2478" s="18">
        <f t="shared" si="380"/>
        <v>3550</v>
      </c>
      <c r="E2478" s="267">
        <f t="shared" si="381"/>
        <v>4260</v>
      </c>
      <c r="F2478" s="270"/>
      <c r="G2478" s="66"/>
      <c r="H2478" s="18">
        <f t="shared" si="382"/>
        <v>4083.3333333333335</v>
      </c>
      <c r="I2478" s="267">
        <f t="shared" si="383"/>
        <v>4900</v>
      </c>
      <c r="J2478" s="270"/>
      <c r="K2478" s="66"/>
      <c r="L2478" s="18">
        <f t="shared" si="384"/>
        <v>4283.3333333333339</v>
      </c>
      <c r="M2478" s="267">
        <f t="shared" si="385"/>
        <v>5140.0000000000009</v>
      </c>
      <c r="N2478" s="270"/>
      <c r="O2478" s="66"/>
      <c r="P2478" s="22"/>
      <c r="Q2478" s="22"/>
      <c r="R2478" s="22"/>
      <c r="S2478" s="22"/>
      <c r="T2478" s="22"/>
      <c r="U2478" s="22"/>
      <c r="V2478" s="22"/>
      <c r="W2478" s="22"/>
      <c r="X2478" s="22"/>
      <c r="Y2478" s="22"/>
      <c r="Z2478" s="22"/>
      <c r="AA2478" s="331">
        <v>4260</v>
      </c>
      <c r="AB2478" s="331"/>
      <c r="AC2478" s="331">
        <v>4900</v>
      </c>
      <c r="AD2478" s="331"/>
      <c r="AE2478" s="331">
        <v>5140</v>
      </c>
      <c r="AF2478" s="331"/>
      <c r="AG2478" s="331">
        <v>5520</v>
      </c>
      <c r="AH2478" s="331"/>
      <c r="AI2478" s="331">
        <v>5890</v>
      </c>
      <c r="AJ2478" s="288"/>
      <c r="AK2478" s="385">
        <v>4250</v>
      </c>
      <c r="AL2478" s="309">
        <f t="shared" si="386"/>
        <v>-2.3474178403756207E-3</v>
      </c>
      <c r="AM2478" s="385">
        <f t="shared" si="387"/>
        <v>0</v>
      </c>
      <c r="AN2478" s="30" t="e">
        <f t="shared" si="388"/>
        <v>#DIV/0!</v>
      </c>
      <c r="AO2478" s="385">
        <v>4880</v>
      </c>
      <c r="AP2478" s="30">
        <f t="shared" si="389"/>
        <v>-4.0816326530612734E-3</v>
      </c>
      <c r="AQ2478" s="385">
        <f t="shared" si="390"/>
        <v>0</v>
      </c>
      <c r="AR2478" s="30" t="e">
        <f t="shared" si="391"/>
        <v>#DIV/0!</v>
      </c>
      <c r="AS2478" s="385">
        <v>5140</v>
      </c>
      <c r="AT2478" s="1">
        <f t="shared" si="392"/>
        <v>0</v>
      </c>
      <c r="AU2478" s="1">
        <f t="shared" si="393"/>
        <v>0</v>
      </c>
    </row>
    <row r="2479" spans="1:47">
      <c r="A2479" s="8"/>
      <c r="B2479" s="16" t="str">
        <f>IF($C$1="ENG","F (180 - 200 mm)","F (180 - 200 мм)")</f>
        <v>F (180 - 200 мм)</v>
      </c>
      <c r="C2479" s="430"/>
      <c r="D2479" s="18">
        <f t="shared" si="380"/>
        <v>3725</v>
      </c>
      <c r="E2479" s="267">
        <f t="shared" si="381"/>
        <v>4470</v>
      </c>
      <c r="F2479" s="270"/>
      <c r="G2479" s="66"/>
      <c r="H2479" s="18">
        <f t="shared" si="382"/>
        <v>4275</v>
      </c>
      <c r="I2479" s="267">
        <f t="shared" si="383"/>
        <v>5130</v>
      </c>
      <c r="J2479" s="270"/>
      <c r="K2479" s="66"/>
      <c r="L2479" s="18">
        <f t="shared" si="384"/>
        <v>4491.666666666667</v>
      </c>
      <c r="M2479" s="267">
        <f t="shared" si="385"/>
        <v>5390</v>
      </c>
      <c r="N2479" s="270"/>
      <c r="O2479" s="66"/>
      <c r="P2479" s="22"/>
      <c r="Q2479" s="22"/>
      <c r="R2479" s="22"/>
      <c r="S2479" s="22"/>
      <c r="T2479" s="22"/>
      <c r="U2479" s="22"/>
      <c r="V2479" s="22"/>
      <c r="W2479" s="22"/>
      <c r="X2479" s="22"/>
      <c r="Y2479" s="22"/>
      <c r="Z2479" s="22"/>
      <c r="AA2479" s="331">
        <v>4470</v>
      </c>
      <c r="AB2479" s="331"/>
      <c r="AC2479" s="331">
        <v>5130</v>
      </c>
      <c r="AD2479" s="331"/>
      <c r="AE2479" s="331">
        <v>5390</v>
      </c>
      <c r="AF2479" s="331"/>
      <c r="AG2479" s="331">
        <v>5740</v>
      </c>
      <c r="AH2479" s="331"/>
      <c r="AI2479" s="331">
        <v>6140</v>
      </c>
      <c r="AJ2479" s="288"/>
      <c r="AK2479" s="385">
        <v>4420</v>
      </c>
      <c r="AL2479" s="309">
        <f t="shared" si="386"/>
        <v>-1.1185682326621871E-2</v>
      </c>
      <c r="AM2479" s="385">
        <f t="shared" si="387"/>
        <v>0</v>
      </c>
      <c r="AN2479" s="30" t="e">
        <f t="shared" si="388"/>
        <v>#DIV/0!</v>
      </c>
      <c r="AO2479" s="385">
        <v>5090</v>
      </c>
      <c r="AP2479" s="30">
        <f t="shared" si="389"/>
        <v>-7.7972709551656916E-3</v>
      </c>
      <c r="AQ2479" s="385">
        <f t="shared" si="390"/>
        <v>0</v>
      </c>
      <c r="AR2479" s="30" t="e">
        <f t="shared" si="391"/>
        <v>#DIV/0!</v>
      </c>
      <c r="AS2479" s="385">
        <v>5350</v>
      </c>
      <c r="AT2479" s="1">
        <f t="shared" si="392"/>
        <v>-7.4211502782931538E-3</v>
      </c>
      <c r="AU2479" s="1">
        <f t="shared" si="393"/>
        <v>0</v>
      </c>
    </row>
    <row r="2480" spans="1:47">
      <c r="A2480" s="8"/>
      <c r="B2480" s="16" t="str">
        <f>IF($C$1="ENG","G (200 - 220 mm)","G (200 - 220 мм)")</f>
        <v>G (200 - 220 мм)</v>
      </c>
      <c r="C2480" s="430"/>
      <c r="D2480" s="18">
        <f t="shared" si="380"/>
        <v>3875</v>
      </c>
      <c r="E2480" s="267">
        <f t="shared" si="381"/>
        <v>4650</v>
      </c>
      <c r="F2480" s="270"/>
      <c r="G2480" s="66"/>
      <c r="H2480" s="18">
        <f t="shared" si="382"/>
        <v>4466.666666666667</v>
      </c>
      <c r="I2480" s="267">
        <f t="shared" si="383"/>
        <v>5360</v>
      </c>
      <c r="J2480" s="270"/>
      <c r="K2480" s="66"/>
      <c r="L2480" s="18">
        <f t="shared" si="384"/>
        <v>4675</v>
      </c>
      <c r="M2480" s="267">
        <f t="shared" si="385"/>
        <v>5610</v>
      </c>
      <c r="N2480" s="270"/>
      <c r="O2480" s="66"/>
      <c r="P2480" s="22"/>
      <c r="Q2480" s="22"/>
      <c r="R2480" s="22"/>
      <c r="S2480" s="22"/>
      <c r="T2480" s="22"/>
      <c r="U2480" s="22"/>
      <c r="V2480" s="22"/>
      <c r="W2480" s="22"/>
      <c r="X2480" s="22"/>
      <c r="Y2480" s="22"/>
      <c r="Z2480" s="22"/>
      <c r="AA2480" s="331">
        <v>4650</v>
      </c>
      <c r="AB2480" s="331"/>
      <c r="AC2480" s="331">
        <v>5360</v>
      </c>
      <c r="AD2480" s="331"/>
      <c r="AE2480" s="331">
        <v>5610</v>
      </c>
      <c r="AF2480" s="331"/>
      <c r="AG2480" s="331">
        <v>5970</v>
      </c>
      <c r="AH2480" s="331"/>
      <c r="AI2480" s="331">
        <v>6370</v>
      </c>
      <c r="AJ2480" s="288"/>
      <c r="AK2480" s="385">
        <v>4590</v>
      </c>
      <c r="AL2480" s="309">
        <f t="shared" si="386"/>
        <v>-1.2903225806451646E-2</v>
      </c>
      <c r="AM2480" s="385">
        <f t="shared" si="387"/>
        <v>0</v>
      </c>
      <c r="AN2480" s="30" t="e">
        <f t="shared" si="388"/>
        <v>#DIV/0!</v>
      </c>
      <c r="AO2480" s="385">
        <v>5280</v>
      </c>
      <c r="AP2480" s="30">
        <f t="shared" si="389"/>
        <v>-1.4925373134328401E-2</v>
      </c>
      <c r="AQ2480" s="385">
        <f t="shared" si="390"/>
        <v>0</v>
      </c>
      <c r="AR2480" s="30" t="e">
        <f t="shared" si="391"/>
        <v>#DIV/0!</v>
      </c>
      <c r="AS2480" s="385">
        <v>5560</v>
      </c>
      <c r="AT2480" s="1">
        <f t="shared" si="392"/>
        <v>-8.9126559714794995E-3</v>
      </c>
      <c r="AU2480" s="1">
        <f t="shared" si="393"/>
        <v>0</v>
      </c>
    </row>
    <row r="2481" spans="1:49">
      <c r="A2481" s="8"/>
      <c r="B2481" s="106" t="str">
        <f>IF($C$1="ENG","H (220 - 240 mm)","H (220 - 240 мм)")</f>
        <v>H (220 - 240 мм)</v>
      </c>
      <c r="C2481" s="431"/>
      <c r="D2481" s="25">
        <f t="shared" si="380"/>
        <v>4033.3333333333335</v>
      </c>
      <c r="E2481" s="268">
        <f t="shared" si="381"/>
        <v>4840</v>
      </c>
      <c r="F2481" s="271"/>
      <c r="G2481" s="69"/>
      <c r="H2481" s="25">
        <f t="shared" si="382"/>
        <v>4641.666666666667</v>
      </c>
      <c r="I2481" s="268">
        <f t="shared" si="383"/>
        <v>5570</v>
      </c>
      <c r="J2481" s="271"/>
      <c r="K2481" s="69"/>
      <c r="L2481" s="25">
        <f t="shared" si="384"/>
        <v>4858.3333333333339</v>
      </c>
      <c r="M2481" s="268">
        <f t="shared" si="385"/>
        <v>5830.0000000000009</v>
      </c>
      <c r="N2481" s="271"/>
      <c r="O2481" s="69"/>
      <c r="P2481" s="22"/>
      <c r="Q2481" s="22"/>
      <c r="R2481" s="22"/>
      <c r="S2481" s="22"/>
      <c r="T2481" s="22"/>
      <c r="U2481" s="22"/>
      <c r="V2481" s="22"/>
      <c r="W2481" s="22"/>
      <c r="X2481" s="22"/>
      <c r="Y2481" s="22"/>
      <c r="Z2481" s="22"/>
      <c r="AA2481" s="331">
        <v>4840</v>
      </c>
      <c r="AB2481" s="331"/>
      <c r="AC2481" s="331">
        <v>5570</v>
      </c>
      <c r="AD2481" s="331"/>
      <c r="AE2481" s="331">
        <v>5830</v>
      </c>
      <c r="AF2481" s="331"/>
      <c r="AG2481" s="331">
        <v>6190</v>
      </c>
      <c r="AH2481" s="331"/>
      <c r="AI2481" s="331">
        <v>6600</v>
      </c>
      <c r="AJ2481" s="288"/>
      <c r="AK2481" s="385">
        <v>4760</v>
      </c>
      <c r="AL2481" s="309">
        <f t="shared" si="386"/>
        <v>-1.6528925619834656E-2</v>
      </c>
      <c r="AM2481" s="385">
        <f t="shared" si="387"/>
        <v>0</v>
      </c>
      <c r="AN2481" s="30" t="e">
        <f t="shared" si="388"/>
        <v>#DIV/0!</v>
      </c>
      <c r="AO2481" s="385">
        <v>5470</v>
      </c>
      <c r="AP2481" s="30">
        <f t="shared" si="389"/>
        <v>-1.7953321364452379E-2</v>
      </c>
      <c r="AQ2481" s="385">
        <f t="shared" si="390"/>
        <v>0</v>
      </c>
      <c r="AR2481" s="30" t="e">
        <f t="shared" si="391"/>
        <v>#DIV/0!</v>
      </c>
      <c r="AS2481" s="385">
        <v>5760</v>
      </c>
      <c r="AT2481" s="1">
        <f t="shared" si="392"/>
        <v>-1.2006861063464824E-2</v>
      </c>
      <c r="AU2481" s="1">
        <f t="shared" si="393"/>
        <v>0</v>
      </c>
    </row>
    <row r="2482" spans="1:49" s="48" customFormat="1">
      <c r="B2482" s="312"/>
      <c r="C2482" s="426"/>
      <c r="D2482" s="28"/>
      <c r="E2482" s="59"/>
      <c r="F2482" s="28"/>
      <c r="G2482" s="59"/>
      <c r="H2482" s="28"/>
      <c r="I2482" s="59"/>
      <c r="J2482" s="28"/>
      <c r="K2482" s="59"/>
      <c r="L2482" s="28"/>
      <c r="M2482" s="59"/>
      <c r="N2482" s="28"/>
      <c r="O2482" s="59"/>
      <c r="P2482" s="28"/>
      <c r="Q2482" s="59"/>
      <c r="R2482" s="28"/>
      <c r="S2482" s="59"/>
      <c r="T2482" s="28"/>
      <c r="U2482" s="59"/>
      <c r="V2482" s="28"/>
      <c r="W2482" s="59"/>
      <c r="X2482" s="399"/>
      <c r="Y2482" s="399"/>
      <c r="Z2482" s="399"/>
      <c r="AA2482" s="399"/>
      <c r="AB2482" s="399"/>
      <c r="AM2482" s="452"/>
      <c r="AN2482" s="453"/>
      <c r="AO2482" s="452"/>
      <c r="AP2482" s="56"/>
      <c r="AQ2482" s="452"/>
      <c r="AR2482" s="56"/>
      <c r="AS2482" s="452"/>
      <c r="AT2482" s="56"/>
      <c r="AU2482" s="452"/>
    </row>
    <row r="2483" spans="1:49" s="48" customFormat="1">
      <c r="B2483" s="449"/>
      <c r="C2483" s="426"/>
      <c r="D2483" s="28"/>
      <c r="E2483" s="59"/>
      <c r="F2483" s="28"/>
      <c r="G2483" s="59"/>
      <c r="H2483" s="28"/>
      <c r="I2483" s="59"/>
      <c r="J2483" s="28"/>
      <c r="K2483" s="59"/>
      <c r="L2483" s="28"/>
      <c r="M2483" s="59"/>
      <c r="N2483" s="28"/>
      <c r="O2483" s="59"/>
      <c r="P2483" s="28"/>
      <c r="Q2483" s="59"/>
      <c r="R2483" s="28"/>
      <c r="S2483" s="59"/>
      <c r="T2483" s="28"/>
      <c r="U2483" s="59"/>
      <c r="V2483" s="28"/>
      <c r="W2483" s="59"/>
      <c r="X2483" s="399"/>
      <c r="Y2483" s="399"/>
      <c r="Z2483" s="399"/>
      <c r="AA2483" s="399"/>
      <c r="AB2483" s="399"/>
      <c r="AM2483" s="452"/>
      <c r="AN2483" s="453"/>
      <c r="AO2483" s="452"/>
      <c r="AP2483" s="56"/>
      <c r="AQ2483" s="452"/>
      <c r="AR2483" s="56"/>
      <c r="AS2483" s="452"/>
      <c r="AT2483" s="56"/>
      <c r="AU2483" s="452"/>
    </row>
    <row r="2484" spans="1:49" s="48" customFormat="1" ht="24.95" customHeight="1">
      <c r="B2484" s="54" t="str">
        <f>IF($C$1="ENG","ADJUSTABLE PANELS","ПЛАНКИ РЕГУЛЮВАЛЬНІ")</f>
        <v>ПЛАНКИ РЕГУЛЮВАЛЬНІ</v>
      </c>
      <c r="C2484" s="426"/>
      <c r="D2484" s="28"/>
      <c r="E2484" s="563" t="str">
        <f>IF($C$1="ENG","For Door Frames Verto-FIT Comfort Inside","Для Дверних Коробок Verto-FIT Comfort Inside")</f>
        <v>Для Дверних Коробок Verto-FIT Comfort Inside</v>
      </c>
      <c r="F2484" s="563"/>
      <c r="G2484" s="563"/>
      <c r="H2484" s="563"/>
      <c r="I2484" s="563"/>
      <c r="J2484" s="563"/>
      <c r="K2484" s="563"/>
      <c r="L2484" s="28"/>
      <c r="M2484" s="105"/>
      <c r="N2484" s="28"/>
      <c r="O2484" s="29"/>
      <c r="P2484" s="28"/>
      <c r="Q2484" s="105"/>
      <c r="R2484" s="28"/>
      <c r="S2484" s="29"/>
      <c r="T2484" s="152"/>
      <c r="U2484" s="154"/>
      <c r="V2484" s="152"/>
      <c r="W2484" s="153"/>
      <c r="AN2484" s="56"/>
      <c r="AO2484" s="56"/>
      <c r="AP2484" s="56"/>
      <c r="AQ2484" s="56"/>
      <c r="AR2484" s="56"/>
      <c r="AS2484" s="56"/>
      <c r="AT2484" s="56"/>
    </row>
    <row r="2485" spans="1:49" ht="34.5" customHeight="1">
      <c r="A2485" s="8"/>
      <c r="B2485" s="243" t="str">
        <f>IF($C$1="ENG","Panel (1 set) 80 mm","Планка (1 к-т) 80 мм")</f>
        <v>Планка (1 к-т) 80 мм</v>
      </c>
      <c r="C2485" s="432"/>
      <c r="D2485" s="15">
        <f>IF(AC2485="","",(1-$W$2)*(AC2485/1.2))</f>
        <v>991.66666666666674</v>
      </c>
      <c r="E2485" s="298">
        <f>IF($W$5=0.2,D2485*1.2,D2485)/$W$4</f>
        <v>1190</v>
      </c>
      <c r="F2485" s="269"/>
      <c r="G2485" s="64"/>
      <c r="H2485" s="15">
        <f>IF(AE2485="","",(1-$W$2)*(AE2485/1.2))</f>
        <v>1091.6666666666667</v>
      </c>
      <c r="I2485" s="266">
        <f>IF($W$5=0.2,H2485*1.2,H2485)/$W$4</f>
        <v>1310</v>
      </c>
      <c r="J2485" s="269"/>
      <c r="K2485" s="64"/>
      <c r="L2485" s="15">
        <f>IF(AG2485="","",(1-$W$2)*(AG2485/1.2))</f>
        <v>1158.3333333333335</v>
      </c>
      <c r="M2485" s="266">
        <f>IF($W$5=0.2,L2485*1.2,L2485)/$W$4</f>
        <v>1390.0000000000002</v>
      </c>
      <c r="N2485" s="269"/>
      <c r="O2485" s="64"/>
      <c r="P2485" s="15">
        <f>IF(AI2485="","",(1-$W$2)*(AI2485/1.2))</f>
        <v>1225</v>
      </c>
      <c r="Q2485" s="456"/>
      <c r="R2485" s="28"/>
      <c r="S2485" s="59"/>
      <c r="T2485" s="28"/>
      <c r="U2485" s="59"/>
      <c r="V2485" s="28"/>
      <c r="W2485" s="59"/>
      <c r="AC2485" s="331">
        <v>1190</v>
      </c>
      <c r="AD2485" s="331"/>
      <c r="AE2485" s="331">
        <v>1310</v>
      </c>
      <c r="AF2485" s="331"/>
      <c r="AG2485" s="331">
        <v>1390</v>
      </c>
      <c r="AH2485" s="331"/>
      <c r="AI2485" s="331">
        <v>1470</v>
      </c>
      <c r="AJ2485" s="331"/>
      <c r="AK2485" s="331">
        <v>1550</v>
      </c>
      <c r="AL2485" s="288"/>
      <c r="AM2485" s="385">
        <v>1190</v>
      </c>
      <c r="AN2485" s="309">
        <f>AM2485/AC2485-1</f>
        <v>0</v>
      </c>
      <c r="AO2485" s="385">
        <f>AD2485/100*13+AD2485</f>
        <v>0</v>
      </c>
      <c r="AP2485" s="30" t="e">
        <f>AO2485/AD2485-1</f>
        <v>#DIV/0!</v>
      </c>
      <c r="AQ2485" s="385">
        <v>1310</v>
      </c>
      <c r="AR2485" s="30">
        <f>AQ2485/AE2485-1</f>
        <v>0</v>
      </c>
      <c r="AS2485" s="385">
        <f>AF2485/100*13+AF2485</f>
        <v>0</v>
      </c>
      <c r="AT2485" s="30" t="e">
        <f>AS2485/AF2485-1</f>
        <v>#DIV/0!</v>
      </c>
      <c r="AU2485" s="385">
        <v>1390</v>
      </c>
      <c r="AV2485" s="1">
        <f>AU2485/AG2485-1</f>
        <v>0</v>
      </c>
      <c r="AW2485" s="1">
        <f>AH2485/100*13+AH2485</f>
        <v>0</v>
      </c>
    </row>
    <row r="2486" spans="1:49" ht="34.5" customHeight="1">
      <c r="A2486" s="8"/>
      <c r="B2486" s="311" t="str">
        <f>IF($C$1="ENG","Panel (1 set) 160 mm","Планка (1 к-т) 160 мм")</f>
        <v>Планка (1 к-т) 160 мм</v>
      </c>
      <c r="C2486" s="430"/>
      <c r="D2486" s="18">
        <f>IF(AC2486="","",(1-$W$2)*(AC2486/1.2))</f>
        <v>1650</v>
      </c>
      <c r="E2486" s="267">
        <f>IF($W$5=0.2,D2486*1.2,D2486)/$W$4</f>
        <v>1980</v>
      </c>
      <c r="F2486" s="270"/>
      <c r="G2486" s="66"/>
      <c r="H2486" s="18">
        <f>IF(AE2486="","",(1-$W$2)*(AE2486/1.2))</f>
        <v>1875</v>
      </c>
      <c r="I2486" s="267">
        <f>IF($W$5=0.2,H2486*1.2,H2486)/$W$4</f>
        <v>2250</v>
      </c>
      <c r="J2486" s="270"/>
      <c r="K2486" s="66"/>
      <c r="L2486" s="18">
        <f>IF(AG2486="","",(1-$W$2)*(AG2486/1.2))</f>
        <v>1991.6666666666667</v>
      </c>
      <c r="M2486" s="267">
        <f>IF($W$5=0.2,L2486*1.2,L2486)/$W$4</f>
        <v>2390</v>
      </c>
      <c r="N2486" s="270"/>
      <c r="O2486" s="66"/>
      <c r="P2486" s="18">
        <f>IF(AI2486="","",(1-$W$2)*(AI2486/1.2))</f>
        <v>2116.666666666667</v>
      </c>
      <c r="Q2486" s="456"/>
      <c r="R2486" s="28"/>
      <c r="S2486" s="59"/>
      <c r="T2486" s="28"/>
      <c r="U2486" s="59"/>
      <c r="V2486" s="28"/>
      <c r="W2486" s="59"/>
      <c r="AC2486" s="331">
        <v>1980</v>
      </c>
      <c r="AD2486" s="331"/>
      <c r="AE2486" s="331">
        <v>2250</v>
      </c>
      <c r="AF2486" s="331"/>
      <c r="AG2486" s="331">
        <v>2390</v>
      </c>
      <c r="AH2486" s="331"/>
      <c r="AI2486" s="331">
        <v>2540</v>
      </c>
      <c r="AJ2486" s="331"/>
      <c r="AK2486" s="331">
        <v>2690</v>
      </c>
      <c r="AL2486" s="288"/>
      <c r="AM2486" s="385">
        <v>1980</v>
      </c>
      <c r="AN2486" s="309">
        <f t="shared" ref="AN2486:AN2487" si="394">AM2486/AC2486-1</f>
        <v>0</v>
      </c>
      <c r="AO2486" s="385">
        <f t="shared" ref="AO2486:AO2487" si="395">AD2486/100*13+AD2486</f>
        <v>0</v>
      </c>
      <c r="AP2486" s="30" t="e">
        <f t="shared" ref="AP2486:AP2487" si="396">AO2486/AD2486-1</f>
        <v>#DIV/0!</v>
      </c>
      <c r="AQ2486" s="385">
        <v>2250</v>
      </c>
      <c r="AR2486" s="30">
        <f t="shared" ref="AR2486:AR2487" si="397">AQ2486/AE2486-1</f>
        <v>0</v>
      </c>
      <c r="AS2486" s="385">
        <f t="shared" ref="AS2486:AS2487" si="398">AF2486/100*13+AF2486</f>
        <v>0</v>
      </c>
      <c r="AT2486" s="30" t="e">
        <f t="shared" ref="AT2486:AT2487" si="399">AS2486/AF2486-1</f>
        <v>#DIV/0!</v>
      </c>
      <c r="AU2486" s="385">
        <v>2390</v>
      </c>
      <c r="AV2486" s="1">
        <f t="shared" ref="AV2486:AV2487" si="400">AU2486/AG2486-1</f>
        <v>0</v>
      </c>
      <c r="AW2486" s="1">
        <f t="shared" ref="AW2486:AW2487" si="401">AH2486/100*13+AH2486</f>
        <v>0</v>
      </c>
    </row>
    <row r="2487" spans="1:49" ht="34.5" customHeight="1">
      <c r="A2487" s="8"/>
      <c r="B2487" s="107" t="str">
        <f>IF($C$1="ENG","Panel (1 set) 200 mm","Планка (1 к-т) 200 мм")</f>
        <v>Планка (1 к-т) 200 мм</v>
      </c>
      <c r="C2487" s="431"/>
      <c r="D2487" s="25">
        <f>IF(AC2487="","",(1-$W$2)*(AC2487/1.2))</f>
        <v>1966.6666666666667</v>
      </c>
      <c r="E2487" s="268">
        <f>IF($W$5=0.2,D2487*1.2,D2487)/$W$4</f>
        <v>2360</v>
      </c>
      <c r="F2487" s="271"/>
      <c r="G2487" s="69"/>
      <c r="H2487" s="25">
        <f>IF(AE2487="","",(1-$W$2)*(AE2487/1.2))</f>
        <v>2241.666666666667</v>
      </c>
      <c r="I2487" s="268">
        <f>IF($W$5=0.2,H2487*1.2,H2487)/$W$4</f>
        <v>2690.0000000000005</v>
      </c>
      <c r="J2487" s="271"/>
      <c r="K2487" s="69"/>
      <c r="L2487" s="25">
        <f>IF(AG2487="","",(1-$W$2)*(AG2487/1.2))</f>
        <v>2391.666666666667</v>
      </c>
      <c r="M2487" s="268">
        <f>IF($W$5=0.2,L2487*1.2,L2487)/$W$4</f>
        <v>2870.0000000000005</v>
      </c>
      <c r="N2487" s="271"/>
      <c r="O2487" s="69"/>
      <c r="P2487" s="25">
        <f>IF(AI2487="","",(1-$W$2)*(AI2487/1.2))</f>
        <v>2525</v>
      </c>
      <c r="Q2487" s="456"/>
      <c r="R2487" s="28"/>
      <c r="S2487" s="59"/>
      <c r="T2487" s="28"/>
      <c r="U2487" s="59"/>
      <c r="V2487" s="28"/>
      <c r="W2487" s="59"/>
      <c r="AC2487" s="331">
        <v>2360</v>
      </c>
      <c r="AD2487" s="331"/>
      <c r="AE2487" s="331">
        <v>2690</v>
      </c>
      <c r="AF2487" s="331"/>
      <c r="AG2487" s="331">
        <v>2870</v>
      </c>
      <c r="AH2487" s="331"/>
      <c r="AI2487" s="331">
        <v>3030</v>
      </c>
      <c r="AJ2487" s="331"/>
      <c r="AK2487" s="331">
        <v>3210</v>
      </c>
      <c r="AL2487" s="288"/>
      <c r="AM2487" s="385">
        <v>2360</v>
      </c>
      <c r="AN2487" s="309">
        <f t="shared" si="394"/>
        <v>0</v>
      </c>
      <c r="AO2487" s="385">
        <f t="shared" si="395"/>
        <v>0</v>
      </c>
      <c r="AP2487" s="30" t="e">
        <f t="shared" si="396"/>
        <v>#DIV/0!</v>
      </c>
      <c r="AQ2487" s="385">
        <v>2690</v>
      </c>
      <c r="AR2487" s="30">
        <f t="shared" si="397"/>
        <v>0</v>
      </c>
      <c r="AS2487" s="385">
        <f t="shared" si="398"/>
        <v>0</v>
      </c>
      <c r="AT2487" s="30" t="e">
        <f t="shared" si="399"/>
        <v>#DIV/0!</v>
      </c>
      <c r="AU2487" s="385">
        <v>2870</v>
      </c>
      <c r="AV2487" s="1">
        <f t="shared" si="400"/>
        <v>0</v>
      </c>
      <c r="AW2487" s="1">
        <f t="shared" si="401"/>
        <v>0</v>
      </c>
    </row>
    <row r="2488" spans="1:49">
      <c r="C2488" s="244"/>
      <c r="D2488" s="26"/>
      <c r="E2488" s="57"/>
      <c r="F2488" s="26"/>
      <c r="G2488" s="57"/>
      <c r="H2488" s="5"/>
      <c r="K2488" s="20"/>
      <c r="L2488" s="48"/>
      <c r="M2488" s="105"/>
      <c r="N2488" s="48"/>
      <c r="O2488" s="48"/>
      <c r="P2488" s="48"/>
      <c r="Q2488" s="105"/>
      <c r="R2488" s="48"/>
      <c r="S2488" s="48"/>
      <c r="U2488" s="20"/>
      <c r="W2488" s="20"/>
    </row>
    <row r="2489" spans="1:49">
      <c r="B2489" s="211" t="str">
        <f>IF($C$1="ENG","For additonal charge:","Послуги за додаткову плату:")</f>
        <v>Послуги за додаткову плату:</v>
      </c>
      <c r="C2489" s="419"/>
      <c r="D2489" s="212"/>
      <c r="E2489" s="213"/>
      <c r="F2489" s="39"/>
      <c r="G2489" s="39"/>
      <c r="H2489" s="10"/>
      <c r="I2489" s="83"/>
      <c r="J2489" s="8"/>
      <c r="K2489" s="8"/>
      <c r="L2489" s="104"/>
      <c r="N2489" s="104"/>
      <c r="P2489" s="104"/>
      <c r="R2489" s="104"/>
      <c r="U2489" s="20"/>
      <c r="W2489" s="20"/>
    </row>
    <row r="2490" spans="1:49" ht="5.0999999999999996" customHeight="1">
      <c r="B2490" s="27"/>
      <c r="C2490" s="244"/>
      <c r="D2490" s="26"/>
      <c r="E2490" s="57"/>
      <c r="F2490" s="26"/>
      <c r="G2490" s="26"/>
      <c r="H2490" s="10"/>
      <c r="I2490" s="8"/>
      <c r="J2490" s="8"/>
      <c r="K2490" s="8"/>
      <c r="U2490" s="20"/>
      <c r="W2490" s="20"/>
    </row>
    <row r="2491" spans="1:49">
      <c r="B2491" s="568" t="str">
        <f>IF($C$1="ENG","hidden 3D door hindge Cemom","прихована 3D завіса Cemom хром/чорн.")</f>
        <v>прихована 3D завіса Cemom хром/чорн.</v>
      </c>
      <c r="C2491" s="569"/>
      <c r="D2491" s="51">
        <f>IF(AC2491="","",(1-$W$2)*(AC2491/1.2))</f>
        <v>741.66666666666674</v>
      </c>
      <c r="E2491" s="84">
        <v>1500</v>
      </c>
      <c r="F2491" s="26"/>
      <c r="G2491" s="26"/>
      <c r="H2491" s="10"/>
      <c r="I2491" s="83"/>
      <c r="J2491" s="8"/>
      <c r="K2491" s="83"/>
      <c r="U2491" s="20"/>
      <c r="W2491" s="20"/>
      <c r="AC2491" s="297">
        <v>890</v>
      </c>
      <c r="AD2491" s="385"/>
      <c r="AE2491" s="30"/>
      <c r="AF2491" s="288"/>
      <c r="AG2491" s="288"/>
      <c r="AH2491" s="288"/>
      <c r="AI2491" s="288"/>
      <c r="AJ2491" s="288"/>
      <c r="AK2491" s="288"/>
      <c r="AL2491" s="288"/>
    </row>
    <row r="2492" spans="1:49" ht="14.25" customHeight="1">
      <c r="T2492" s="570" t="str">
        <f>IF($C$1="ENG",CONCATENATE("down to: ",B2577),CONCATENATE("вниз до: ",B2577))</f>
        <v>вниз до: Плінтуси</v>
      </c>
      <c r="U2492" s="570"/>
      <c r="V2492" s="570"/>
      <c r="W2492" s="570"/>
    </row>
    <row r="2493" spans="1:49" ht="14.25" customHeight="1">
      <c r="C2493" s="244"/>
      <c r="D2493" s="26"/>
      <c r="E2493" s="26"/>
      <c r="F2493" s="26"/>
      <c r="G2493" s="57"/>
      <c r="H2493" s="5"/>
      <c r="K2493" s="83"/>
    </row>
    <row r="2494" spans="1:49" ht="14.25" customHeight="1">
      <c r="C2494" s="244"/>
      <c r="D2494" s="26"/>
      <c r="E2494" s="26"/>
      <c r="F2494" s="26"/>
      <c r="G2494" s="26"/>
      <c r="H2494" s="5"/>
    </row>
    <row r="2495" spans="1:49" ht="14.25" customHeight="1">
      <c r="C2495" s="244"/>
      <c r="D2495" s="26"/>
      <c r="E2495" s="26"/>
      <c r="F2495" s="26"/>
      <c r="G2495" s="26"/>
      <c r="H2495" s="5"/>
    </row>
    <row r="2496" spans="1:49" ht="14.25" customHeight="1">
      <c r="C2496" s="244"/>
      <c r="D2496" s="26"/>
      <c r="E2496" s="26"/>
      <c r="F2496" s="26"/>
      <c r="G2496" s="26"/>
      <c r="H2496" s="5"/>
    </row>
    <row r="2497" spans="3:8" ht="14.25" customHeight="1">
      <c r="C2497" s="244"/>
      <c r="D2497" s="26"/>
      <c r="E2497" s="26"/>
      <c r="F2497" s="26"/>
      <c r="G2497" s="26"/>
      <c r="H2497" s="5"/>
    </row>
    <row r="2498" spans="3:8" ht="14.25" customHeight="1">
      <c r="C2498" s="244"/>
      <c r="D2498" s="26"/>
      <c r="E2498" s="26"/>
      <c r="F2498" s="26"/>
      <c r="G2498" s="26"/>
      <c r="H2498" s="5"/>
    </row>
    <row r="2499" spans="3:8" ht="14.25" customHeight="1">
      <c r="C2499" s="244"/>
      <c r="D2499" s="26"/>
      <c r="E2499" s="26"/>
      <c r="F2499" s="26"/>
      <c r="G2499" s="26"/>
      <c r="H2499" s="5"/>
    </row>
    <row r="2500" spans="3:8" ht="14.25" customHeight="1">
      <c r="C2500" s="244"/>
      <c r="D2500" s="26"/>
      <c r="E2500" s="26"/>
      <c r="F2500" s="26"/>
      <c r="G2500" s="26"/>
      <c r="H2500" s="5"/>
    </row>
    <row r="2501" spans="3:8" ht="14.25" customHeight="1">
      <c r="C2501" s="244"/>
      <c r="D2501" s="26"/>
      <c r="E2501" s="26"/>
      <c r="F2501" s="26"/>
      <c r="G2501" s="26"/>
      <c r="H2501" s="5"/>
    </row>
    <row r="2502" spans="3:8" ht="14.25" customHeight="1">
      <c r="C2502" s="244"/>
      <c r="D2502" s="26"/>
      <c r="E2502" s="26"/>
      <c r="F2502" s="26"/>
      <c r="G2502" s="26"/>
      <c r="H2502" s="5"/>
    </row>
    <row r="2503" spans="3:8" ht="14.25" customHeight="1">
      <c r="C2503" s="244"/>
      <c r="D2503" s="26"/>
      <c r="E2503" s="26"/>
      <c r="F2503" s="26"/>
      <c r="G2503" s="26"/>
      <c r="H2503" s="5"/>
    </row>
    <row r="2504" spans="3:8" ht="14.25" customHeight="1">
      <c r="C2504" s="244"/>
      <c r="D2504" s="26"/>
      <c r="E2504" s="26"/>
      <c r="F2504" s="26"/>
      <c r="G2504" s="26"/>
      <c r="H2504" s="5"/>
    </row>
    <row r="2505" spans="3:8" ht="14.25" customHeight="1">
      <c r="C2505" s="244"/>
      <c r="D2505" s="26"/>
      <c r="E2505" s="26"/>
      <c r="F2505" s="26"/>
      <c r="G2505" s="26"/>
      <c r="H2505" s="5"/>
    </row>
    <row r="2506" spans="3:8" ht="14.25" customHeight="1">
      <c r="C2506" s="244"/>
      <c r="D2506" s="26"/>
      <c r="E2506" s="26"/>
      <c r="F2506" s="26"/>
      <c r="G2506" s="26"/>
      <c r="H2506" s="5"/>
    </row>
    <row r="2507" spans="3:8" ht="14.25" customHeight="1">
      <c r="C2507" s="244"/>
      <c r="D2507" s="26"/>
      <c r="E2507" s="26"/>
      <c r="F2507" s="26"/>
      <c r="G2507" s="26"/>
      <c r="H2507" s="5"/>
    </row>
    <row r="2508" spans="3:8" ht="14.25" customHeight="1">
      <c r="C2508" s="244"/>
      <c r="D2508" s="26"/>
      <c r="E2508" s="26"/>
      <c r="F2508" s="26"/>
      <c r="G2508" s="26"/>
      <c r="H2508" s="5"/>
    </row>
    <row r="2509" spans="3:8" ht="14.25" customHeight="1">
      <c r="C2509" s="244"/>
      <c r="D2509" s="26"/>
      <c r="E2509" s="26"/>
      <c r="F2509" s="26"/>
      <c r="G2509" s="26"/>
      <c r="H2509" s="5"/>
    </row>
    <row r="2510" spans="3:8" ht="14.25" customHeight="1">
      <c r="C2510" s="244"/>
      <c r="D2510" s="26"/>
      <c r="E2510" s="26"/>
      <c r="F2510" s="26"/>
      <c r="G2510" s="26"/>
      <c r="H2510" s="5"/>
    </row>
    <row r="2511" spans="3:8" ht="14.25" customHeight="1">
      <c r="C2511" s="244"/>
      <c r="D2511" s="26"/>
      <c r="E2511" s="26"/>
      <c r="F2511" s="26"/>
      <c r="G2511" s="26"/>
      <c r="H2511" s="5"/>
    </row>
    <row r="2512" spans="3:8" ht="14.25" customHeight="1">
      <c r="C2512" s="244"/>
      <c r="D2512" s="26"/>
      <c r="E2512" s="26"/>
      <c r="F2512" s="26"/>
      <c r="G2512" s="26"/>
      <c r="H2512" s="5"/>
    </row>
    <row r="2513" spans="3:8" ht="14.25" customHeight="1">
      <c r="C2513" s="244"/>
      <c r="D2513" s="26"/>
      <c r="E2513" s="26"/>
      <c r="F2513" s="26"/>
      <c r="G2513" s="26"/>
      <c r="H2513" s="5"/>
    </row>
    <row r="2514" spans="3:8" ht="14.25" customHeight="1">
      <c r="C2514" s="244"/>
      <c r="D2514" s="26"/>
      <c r="E2514" s="26"/>
      <c r="F2514" s="26"/>
      <c r="G2514" s="26"/>
      <c r="H2514" s="5"/>
    </row>
    <row r="2515" spans="3:8" ht="14.25" customHeight="1">
      <c r="C2515" s="244"/>
      <c r="D2515" s="26"/>
      <c r="E2515" s="26"/>
      <c r="F2515" s="26"/>
      <c r="G2515" s="26"/>
      <c r="H2515" s="5"/>
    </row>
    <row r="2516" spans="3:8" ht="14.25" customHeight="1">
      <c r="C2516" s="244"/>
      <c r="D2516" s="26"/>
      <c r="E2516" s="26"/>
      <c r="F2516" s="26"/>
      <c r="G2516" s="26"/>
      <c r="H2516" s="5"/>
    </row>
    <row r="2517" spans="3:8" ht="14.25" customHeight="1">
      <c r="C2517" s="244"/>
      <c r="D2517" s="26"/>
      <c r="E2517" s="26"/>
      <c r="F2517" s="26"/>
      <c r="G2517" s="26"/>
      <c r="H2517" s="5"/>
    </row>
    <row r="2518" spans="3:8" ht="14.25" customHeight="1">
      <c r="C2518" s="244"/>
      <c r="D2518" s="26"/>
      <c r="E2518" s="26"/>
      <c r="F2518" s="26"/>
      <c r="G2518" s="26"/>
      <c r="H2518" s="5"/>
    </row>
    <row r="2519" spans="3:8" ht="14.25" customHeight="1">
      <c r="C2519" s="244"/>
      <c r="D2519" s="26"/>
      <c r="E2519" s="26"/>
      <c r="F2519" s="26"/>
      <c r="G2519" s="26"/>
      <c r="H2519" s="5"/>
    </row>
    <row r="2520" spans="3:8" ht="14.25" customHeight="1">
      <c r="C2520" s="244"/>
      <c r="D2520" s="26"/>
      <c r="E2520" s="26"/>
      <c r="F2520" s="26"/>
      <c r="G2520" s="26"/>
      <c r="H2520" s="5"/>
    </row>
    <row r="2521" spans="3:8" ht="14.25" customHeight="1">
      <c r="C2521" s="244"/>
      <c r="D2521" s="26"/>
      <c r="E2521" s="26"/>
      <c r="F2521" s="26"/>
      <c r="G2521" s="26"/>
      <c r="H2521" s="5"/>
    </row>
    <row r="2522" spans="3:8" ht="14.25" customHeight="1">
      <c r="C2522" s="244"/>
      <c r="D2522" s="26"/>
      <c r="E2522" s="26"/>
      <c r="F2522" s="26"/>
      <c r="G2522" s="26"/>
      <c r="H2522" s="5"/>
    </row>
    <row r="2523" spans="3:8" ht="14.25" customHeight="1">
      <c r="C2523" s="244"/>
      <c r="D2523" s="26"/>
      <c r="E2523" s="26"/>
      <c r="F2523" s="26"/>
      <c r="G2523" s="26"/>
      <c r="H2523" s="5"/>
    </row>
    <row r="2524" spans="3:8" ht="14.25" customHeight="1">
      <c r="C2524" s="244"/>
      <c r="D2524" s="26"/>
      <c r="E2524" s="26"/>
      <c r="F2524" s="26"/>
      <c r="G2524" s="26"/>
      <c r="H2524" s="5"/>
    </row>
    <row r="2525" spans="3:8" ht="14.25" customHeight="1">
      <c r="C2525" s="244"/>
      <c r="D2525" s="26"/>
      <c r="E2525" s="26"/>
      <c r="F2525" s="26"/>
      <c r="G2525" s="26"/>
      <c r="H2525" s="5"/>
    </row>
    <row r="2526" spans="3:8" ht="14.25" customHeight="1">
      <c r="C2526" s="244"/>
      <c r="D2526" s="26"/>
      <c r="E2526" s="26"/>
      <c r="F2526" s="26"/>
      <c r="G2526" s="26"/>
      <c r="H2526" s="5"/>
    </row>
    <row r="2527" spans="3:8" ht="14.25" customHeight="1">
      <c r="C2527" s="244"/>
      <c r="D2527" s="26"/>
      <c r="E2527" s="26"/>
      <c r="F2527" s="26"/>
      <c r="G2527" s="26"/>
      <c r="H2527" s="5"/>
    </row>
    <row r="2528" spans="3:8" ht="14.25" customHeight="1">
      <c r="C2528" s="244"/>
      <c r="D2528" s="26"/>
      <c r="E2528" s="26"/>
      <c r="F2528" s="26"/>
      <c r="G2528" s="26"/>
      <c r="H2528" s="5"/>
    </row>
    <row r="2529" spans="3:8" ht="14.25" customHeight="1">
      <c r="C2529" s="244"/>
      <c r="D2529" s="26"/>
      <c r="E2529" s="26"/>
      <c r="F2529" s="26"/>
      <c r="G2529" s="26"/>
      <c r="H2529" s="5"/>
    </row>
    <row r="2530" spans="3:8" ht="14.25" customHeight="1">
      <c r="C2530" s="244"/>
      <c r="D2530" s="26"/>
      <c r="E2530" s="26"/>
      <c r="F2530" s="26"/>
      <c r="G2530" s="26"/>
      <c r="H2530" s="5"/>
    </row>
    <row r="2531" spans="3:8" ht="14.25" customHeight="1">
      <c r="C2531" s="244"/>
      <c r="D2531" s="26"/>
      <c r="E2531" s="26"/>
      <c r="F2531" s="26"/>
      <c r="G2531" s="26"/>
      <c r="H2531" s="5"/>
    </row>
    <row r="2532" spans="3:8" ht="14.25" customHeight="1">
      <c r="C2532" s="244"/>
      <c r="D2532" s="26"/>
      <c r="E2532" s="26"/>
      <c r="F2532" s="26"/>
      <c r="G2532" s="26"/>
      <c r="H2532" s="5"/>
    </row>
    <row r="2533" spans="3:8" ht="14.25" customHeight="1">
      <c r="C2533" s="244"/>
      <c r="D2533" s="26"/>
      <c r="E2533" s="26"/>
      <c r="F2533" s="26"/>
      <c r="G2533" s="26"/>
      <c r="H2533" s="5"/>
    </row>
    <row r="2534" spans="3:8" ht="14.25" customHeight="1">
      <c r="C2534" s="244"/>
      <c r="D2534" s="26"/>
      <c r="E2534" s="26"/>
      <c r="F2534" s="26"/>
      <c r="G2534" s="26"/>
      <c r="H2534" s="5"/>
    </row>
    <row r="2535" spans="3:8" ht="14.25" customHeight="1">
      <c r="C2535" s="244"/>
      <c r="D2535" s="26"/>
      <c r="E2535" s="26"/>
      <c r="F2535" s="26"/>
      <c r="G2535" s="26"/>
      <c r="H2535" s="5"/>
    </row>
    <row r="2536" spans="3:8" ht="14.25" customHeight="1">
      <c r="C2536" s="244"/>
      <c r="D2536" s="26"/>
      <c r="E2536" s="26"/>
      <c r="F2536" s="26"/>
      <c r="G2536" s="26"/>
      <c r="H2536" s="5"/>
    </row>
    <row r="2537" spans="3:8" ht="14.25" customHeight="1">
      <c r="C2537" s="244"/>
      <c r="D2537" s="26"/>
      <c r="E2537" s="26"/>
      <c r="F2537" s="26"/>
      <c r="G2537" s="26"/>
      <c r="H2537" s="5"/>
    </row>
    <row r="2538" spans="3:8" ht="14.25" customHeight="1">
      <c r="C2538" s="244"/>
      <c r="D2538" s="26"/>
      <c r="E2538" s="26"/>
      <c r="F2538" s="26"/>
      <c r="G2538" s="26"/>
      <c r="H2538" s="5"/>
    </row>
    <row r="2539" spans="3:8" ht="14.25" customHeight="1">
      <c r="C2539" s="244"/>
      <c r="D2539" s="26"/>
      <c r="E2539" s="26"/>
      <c r="F2539" s="26"/>
      <c r="G2539" s="26"/>
      <c r="H2539" s="5"/>
    </row>
    <row r="2540" spans="3:8" ht="14.25" customHeight="1">
      <c r="C2540" s="244"/>
      <c r="D2540" s="26"/>
      <c r="E2540" s="26"/>
      <c r="F2540" s="26"/>
      <c r="G2540" s="26"/>
      <c r="H2540" s="5"/>
    </row>
    <row r="2541" spans="3:8" ht="14.25" customHeight="1">
      <c r="C2541" s="244"/>
      <c r="D2541" s="26"/>
      <c r="E2541" s="26"/>
      <c r="F2541" s="26"/>
      <c r="G2541" s="26"/>
      <c r="H2541" s="5"/>
    </row>
    <row r="2542" spans="3:8" ht="14.25" customHeight="1">
      <c r="C2542" s="244"/>
      <c r="D2542" s="26"/>
      <c r="E2542" s="26"/>
      <c r="F2542" s="26"/>
      <c r="G2542" s="26"/>
      <c r="H2542" s="5"/>
    </row>
    <row r="2543" spans="3:8" ht="14.25" customHeight="1">
      <c r="C2543" s="244"/>
      <c r="D2543" s="26"/>
      <c r="E2543" s="26"/>
      <c r="F2543" s="26"/>
      <c r="G2543" s="26"/>
      <c r="H2543" s="5"/>
    </row>
    <row r="2544" spans="3:8" ht="14.25" customHeight="1">
      <c r="C2544" s="244"/>
      <c r="D2544" s="26"/>
      <c r="E2544" s="26"/>
      <c r="F2544" s="26"/>
      <c r="G2544" s="26"/>
      <c r="H2544" s="5"/>
    </row>
    <row r="2545" spans="3:8" ht="14.25" customHeight="1">
      <c r="C2545" s="244"/>
      <c r="D2545" s="26"/>
      <c r="E2545" s="26"/>
      <c r="F2545" s="26"/>
      <c r="G2545" s="26"/>
      <c r="H2545" s="5"/>
    </row>
    <row r="2546" spans="3:8" ht="14.25" customHeight="1">
      <c r="C2546" s="244"/>
      <c r="D2546" s="26"/>
      <c r="E2546" s="26"/>
      <c r="F2546" s="26"/>
      <c r="G2546" s="26"/>
      <c r="H2546" s="5"/>
    </row>
    <row r="2547" spans="3:8" ht="14.25" customHeight="1">
      <c r="C2547" s="244"/>
      <c r="D2547" s="26"/>
      <c r="E2547" s="26"/>
      <c r="F2547" s="26"/>
      <c r="G2547" s="26"/>
      <c r="H2547" s="5"/>
    </row>
    <row r="2548" spans="3:8" ht="14.25" customHeight="1">
      <c r="C2548" s="244"/>
      <c r="D2548" s="26"/>
      <c r="E2548" s="26"/>
      <c r="F2548" s="26"/>
      <c r="G2548" s="26"/>
      <c r="H2548" s="5"/>
    </row>
    <row r="2549" spans="3:8" ht="14.25" customHeight="1">
      <c r="C2549" s="244"/>
      <c r="D2549" s="26"/>
      <c r="E2549" s="26"/>
      <c r="F2549" s="26"/>
      <c r="G2549" s="26"/>
      <c r="H2549" s="5"/>
    </row>
    <row r="2550" spans="3:8" ht="14.25" customHeight="1">
      <c r="C2550" s="244"/>
      <c r="D2550" s="26"/>
      <c r="E2550" s="26"/>
      <c r="F2550" s="26"/>
      <c r="G2550" s="26"/>
      <c r="H2550" s="5"/>
    </row>
    <row r="2551" spans="3:8" ht="14.25" customHeight="1">
      <c r="C2551" s="244"/>
      <c r="D2551" s="26"/>
      <c r="E2551" s="26"/>
      <c r="F2551" s="26"/>
      <c r="G2551" s="26"/>
      <c r="H2551" s="5"/>
    </row>
    <row r="2552" spans="3:8" ht="14.25" customHeight="1">
      <c r="C2552" s="244"/>
      <c r="D2552" s="26"/>
      <c r="E2552" s="26"/>
      <c r="F2552" s="26"/>
      <c r="G2552" s="26"/>
      <c r="H2552" s="5"/>
    </row>
    <row r="2553" spans="3:8" ht="14.25" customHeight="1">
      <c r="C2553" s="244"/>
      <c r="D2553" s="26"/>
      <c r="E2553" s="26"/>
      <c r="F2553" s="26"/>
      <c r="G2553" s="26"/>
      <c r="H2553" s="5"/>
    </row>
    <row r="2554" spans="3:8" ht="14.25" customHeight="1">
      <c r="C2554" s="244"/>
      <c r="D2554" s="26"/>
      <c r="E2554" s="26"/>
      <c r="F2554" s="26"/>
      <c r="G2554" s="26"/>
      <c r="H2554" s="5"/>
    </row>
    <row r="2555" spans="3:8" ht="14.25" customHeight="1">
      <c r="C2555" s="244"/>
      <c r="D2555" s="26"/>
      <c r="E2555" s="26"/>
      <c r="F2555" s="26"/>
      <c r="G2555" s="26"/>
      <c r="H2555" s="5"/>
    </row>
    <row r="2556" spans="3:8" ht="14.25" customHeight="1">
      <c r="C2556" s="244"/>
      <c r="D2556" s="26"/>
      <c r="E2556" s="26"/>
      <c r="F2556" s="26"/>
      <c r="G2556" s="26"/>
      <c r="H2556" s="5"/>
    </row>
    <row r="2557" spans="3:8" ht="14.25" customHeight="1">
      <c r="C2557" s="244"/>
      <c r="D2557" s="26"/>
      <c r="E2557" s="26"/>
      <c r="F2557" s="26"/>
      <c r="G2557" s="26"/>
      <c r="H2557" s="5"/>
    </row>
    <row r="2558" spans="3:8" ht="14.25" customHeight="1">
      <c r="C2558" s="244"/>
      <c r="D2558" s="26"/>
      <c r="E2558" s="26"/>
      <c r="F2558" s="26"/>
      <c r="G2558" s="26"/>
      <c r="H2558" s="5"/>
    </row>
    <row r="2559" spans="3:8" ht="14.25" customHeight="1">
      <c r="C2559" s="244"/>
      <c r="D2559" s="26"/>
      <c r="E2559" s="26"/>
      <c r="F2559" s="26"/>
      <c r="G2559" s="26"/>
      <c r="H2559" s="5"/>
    </row>
    <row r="2560" spans="3:8" ht="14.25" customHeight="1">
      <c r="C2560" s="244"/>
      <c r="D2560" s="26"/>
      <c r="E2560" s="26"/>
      <c r="F2560" s="26"/>
      <c r="G2560" s="26"/>
      <c r="H2560" s="5"/>
    </row>
    <row r="2561" spans="3:8" ht="14.25" customHeight="1">
      <c r="C2561" s="244"/>
      <c r="D2561" s="26"/>
      <c r="E2561" s="26"/>
      <c r="F2561" s="26"/>
      <c r="G2561" s="26"/>
      <c r="H2561" s="5"/>
    </row>
    <row r="2562" spans="3:8" ht="14.25" customHeight="1">
      <c r="C2562" s="244"/>
      <c r="D2562" s="26"/>
      <c r="E2562" s="26"/>
      <c r="F2562" s="26"/>
      <c r="G2562" s="26"/>
      <c r="H2562" s="5"/>
    </row>
    <row r="2563" spans="3:8" ht="14.25" customHeight="1">
      <c r="C2563" s="244"/>
      <c r="D2563" s="26"/>
      <c r="E2563" s="26"/>
      <c r="F2563" s="26"/>
      <c r="G2563" s="26"/>
      <c r="H2563" s="5"/>
    </row>
    <row r="2564" spans="3:8" ht="14.25" customHeight="1">
      <c r="C2564" s="244"/>
      <c r="D2564" s="26"/>
      <c r="E2564" s="26"/>
      <c r="F2564" s="26"/>
      <c r="G2564" s="26"/>
      <c r="H2564" s="5"/>
    </row>
    <row r="2565" spans="3:8" ht="14.25" customHeight="1">
      <c r="C2565" s="244"/>
      <c r="D2565" s="26"/>
      <c r="E2565" s="26"/>
      <c r="F2565" s="26"/>
      <c r="G2565" s="26"/>
      <c r="H2565" s="5"/>
    </row>
    <row r="2566" spans="3:8" ht="14.25" customHeight="1">
      <c r="C2566" s="244"/>
      <c r="D2566" s="26"/>
      <c r="E2566" s="26"/>
      <c r="F2566" s="26"/>
      <c r="G2566" s="26"/>
      <c r="H2566" s="5"/>
    </row>
    <row r="2567" spans="3:8" ht="14.25" customHeight="1">
      <c r="C2567" s="244"/>
      <c r="D2567" s="26"/>
      <c r="E2567" s="26"/>
      <c r="F2567" s="26"/>
      <c r="G2567" s="26"/>
      <c r="H2567" s="5"/>
    </row>
    <row r="2568" spans="3:8" ht="14.25" customHeight="1">
      <c r="C2568" s="244"/>
      <c r="D2568" s="26"/>
      <c r="E2568" s="26"/>
      <c r="F2568" s="26"/>
      <c r="G2568" s="26"/>
      <c r="H2568" s="5"/>
    </row>
    <row r="2569" spans="3:8" ht="14.25" customHeight="1">
      <c r="C2569" s="244"/>
      <c r="D2569" s="26"/>
      <c r="E2569" s="26"/>
      <c r="F2569" s="26"/>
      <c r="G2569" s="26"/>
      <c r="H2569" s="5"/>
    </row>
    <row r="2570" spans="3:8" ht="14.25" customHeight="1">
      <c r="C2570" s="244"/>
      <c r="D2570" s="26"/>
      <c r="E2570" s="26"/>
      <c r="F2570" s="26"/>
      <c r="G2570" s="26"/>
      <c r="H2570" s="5"/>
    </row>
    <row r="2571" spans="3:8" ht="14.25" customHeight="1">
      <c r="C2571" s="244"/>
      <c r="D2571" s="26"/>
      <c r="E2571" s="26"/>
      <c r="F2571" s="26"/>
      <c r="G2571" s="26"/>
      <c r="H2571" s="5"/>
    </row>
    <row r="2572" spans="3:8" ht="14.25" customHeight="1">
      <c r="C2572" s="244"/>
      <c r="D2572" s="26"/>
      <c r="E2572" s="26"/>
      <c r="F2572" s="26"/>
      <c r="G2572" s="26"/>
      <c r="H2572" s="5"/>
    </row>
    <row r="2573" spans="3:8" ht="14.25" customHeight="1">
      <c r="C2573" s="244"/>
      <c r="D2573" s="26"/>
      <c r="E2573" s="26"/>
      <c r="F2573" s="26"/>
      <c r="G2573" s="26"/>
      <c r="H2573" s="5"/>
    </row>
    <row r="2574" spans="3:8" ht="14.25" customHeight="1">
      <c r="C2574" s="244"/>
      <c r="D2574" s="26"/>
      <c r="E2574" s="26"/>
      <c r="F2574" s="26"/>
      <c r="G2574" s="26"/>
      <c r="H2574" s="5"/>
    </row>
    <row r="2575" spans="3:8" ht="14.25" customHeight="1">
      <c r="C2575" s="244"/>
      <c r="D2575" s="26"/>
      <c r="E2575" s="26"/>
      <c r="F2575" s="26"/>
      <c r="G2575" s="26"/>
      <c r="H2575" s="5"/>
    </row>
    <row r="2576" spans="3:8" ht="14.25" customHeight="1">
      <c r="C2576" s="244"/>
      <c r="D2576" s="26"/>
      <c r="E2576" s="26"/>
      <c r="F2576" s="26"/>
      <c r="G2576" s="26"/>
      <c r="H2576" s="5"/>
    </row>
    <row r="2577" spans="2:45" ht="14.25" customHeight="1">
      <c r="B2577" s="549" t="str">
        <f>TITLE!C46</f>
        <v>Плінтуси</v>
      </c>
      <c r="C2577" s="550"/>
      <c r="D2577" s="117"/>
      <c r="E2577" s="117"/>
      <c r="F2577" s="117"/>
      <c r="G2577" s="117"/>
      <c r="H2577" s="552"/>
      <c r="I2577" s="552"/>
      <c r="J2577" s="120"/>
      <c r="K2577" s="120"/>
      <c r="L2577" s="120"/>
      <c r="M2577" s="120"/>
      <c r="N2577" s="120"/>
      <c r="O2577" s="120"/>
      <c r="P2577" s="120"/>
      <c r="Q2577" s="120"/>
      <c r="R2577" s="120"/>
      <c r="S2577" s="120"/>
      <c r="T2577" s="545" t="str">
        <f>IF($C$1="ENG",CONCATENATE("up to: ",B2427),CONCATENATE("вгору до: ",B2427))</f>
        <v>вгору до: Дверна коробка Verto-FIT Comfort</v>
      </c>
      <c r="U2577" s="545"/>
      <c r="V2577" s="545"/>
      <c r="W2577" s="545"/>
    </row>
    <row r="2578" spans="2:45" ht="14.25" customHeight="1">
      <c r="B2578" s="8"/>
      <c r="C2578" s="422"/>
      <c r="D2578" s="8"/>
      <c r="E2578" s="8"/>
      <c r="F2578" s="8"/>
      <c r="G2578" s="8"/>
      <c r="H2578" s="8"/>
      <c r="I2578" s="8"/>
      <c r="J2578" s="8"/>
      <c r="K2578" s="8"/>
      <c r="L2578" s="48"/>
      <c r="M2578" s="48"/>
      <c r="N2578" s="48"/>
      <c r="O2578" s="48"/>
      <c r="P2578" s="48"/>
      <c r="Q2578" s="48"/>
      <c r="R2578" s="48"/>
      <c r="S2578" s="48"/>
      <c r="T2578" s="114"/>
      <c r="U2578" s="114"/>
      <c r="V2578" s="114"/>
      <c r="W2578" s="114"/>
    </row>
    <row r="2579" spans="2:45" ht="27" customHeight="1">
      <c r="B2579" s="304" t="str">
        <f>IF($C$1="ENG","model","модель")</f>
        <v>модель</v>
      </c>
      <c r="C2579" s="121" t="str">
        <f>IF($C$1="ENG","cover:","покриття:")</f>
        <v>покриття:</v>
      </c>
      <c r="D2579" s="538" t="str">
        <f>IF($C$1="ENG","SIMPL / V-CELL ","SIMPL / V-CELL")</f>
        <v>SIMPL / V-CELL</v>
      </c>
      <c r="E2579" s="539"/>
      <c r="F2579" s="538" t="str">
        <f>IF($C$1="ENG","UNI-MAT","UNI-MAT")</f>
        <v>UNI-MAT</v>
      </c>
      <c r="G2579" s="539"/>
      <c r="H2579" s="538" t="str">
        <f>IF($C$1="ENG","RESIST","RESIST")</f>
        <v>RESIST</v>
      </c>
      <c r="I2579" s="539"/>
      <c r="J2579" s="538" t="str">
        <f>IF($C$1="ENG","Verto LINE-3D","Verto LINE-3D")</f>
        <v>Verto LINE-3D</v>
      </c>
      <c r="K2579" s="539"/>
      <c r="L2579" s="538" t="str">
        <f>IF($C$1="ENG","ECO Shpon / LOFT","ЕКО Шпон / LOFT")</f>
        <v>ЕКО Шпон / LOFT</v>
      </c>
      <c r="M2579" s="539"/>
      <c r="N2579" s="47"/>
      <c r="O2579" s="47"/>
      <c r="P2579" s="47"/>
      <c r="Q2579" s="47"/>
      <c r="R2579" s="47"/>
      <c r="S2579" s="47"/>
      <c r="AM2579" s="383">
        <v>0.15</v>
      </c>
    </row>
    <row r="2580" spans="2:45" ht="14.25" customHeight="1">
      <c r="B2580" s="305"/>
      <c r="C2580" s="123" t="str">
        <f>IF($C$1="ENG","type:","виконання:")</f>
        <v>виконання:</v>
      </c>
      <c r="D2580" s="542" t="str">
        <f>IF($C$1="ENG","for 1 pcs","за 1 шт.")</f>
        <v>за 1 шт.</v>
      </c>
      <c r="E2580" s="543"/>
      <c r="F2580" s="542" t="str">
        <f>IF($C$1="ENG","for 1 pcs","за 1 шт.")</f>
        <v>за 1 шт.</v>
      </c>
      <c r="G2580" s="543"/>
      <c r="H2580" s="542" t="str">
        <f>IF($C$1="ENG","for 1 pcs","за 1 шт.")</f>
        <v>за 1 шт.</v>
      </c>
      <c r="I2580" s="543"/>
      <c r="J2580" s="542" t="str">
        <f>IF($C$1="ENG","for 1 pcs","за 1 шт.")</f>
        <v>за 1 шт.</v>
      </c>
      <c r="K2580" s="543"/>
      <c r="L2580" s="542" t="str">
        <f>IF($C$1="ENG","for 1 pcs","за 1 шт.")</f>
        <v>за 1 шт.</v>
      </c>
      <c r="M2580" s="543"/>
      <c r="N2580" s="47"/>
      <c r="O2580" s="47"/>
      <c r="P2580" s="47"/>
      <c r="Q2580" s="47"/>
      <c r="R2580" s="47"/>
      <c r="S2580" s="47"/>
    </row>
    <row r="2581" spans="2:45" ht="34.5" customHeight="1">
      <c r="B2581" s="335" t="str">
        <f>IF($C$1="ENG","Plinth 60 mm","Плінтус 60 мм")</f>
        <v>Плінтус 60 мм</v>
      </c>
      <c r="C2581" s="587"/>
      <c r="D2581" s="15">
        <f>IF(AC2581="","",(1-$W$2)*(AC2581/1.2))</f>
        <v>266.66666666666669</v>
      </c>
      <c r="E2581" s="91">
        <f>IF($W$5=0.2,D2581*1.2,D2581)/$W$4</f>
        <v>320</v>
      </c>
      <c r="F2581" s="131">
        <f>IF(AD2581="","",(1-$W$2)*(AD2581/1.2))</f>
        <v>291.66666666666669</v>
      </c>
      <c r="G2581" s="91">
        <f>IF($W$5=0.2,F2581*1.2,F2581)/$W$4</f>
        <v>350</v>
      </c>
      <c r="H2581" s="131">
        <f>IF(AE2581="","",(1-$W$2)*(AE2581/1.2))</f>
        <v>341.66666666666669</v>
      </c>
      <c r="I2581" s="91">
        <f>IF($W$5=0.2,H2581*1.2,H2581)/$W$4</f>
        <v>410</v>
      </c>
      <c r="J2581" s="131">
        <f>IF(AF2581="","",(1-$W$2)*(AF2581/1.2))</f>
        <v>358.33333333333337</v>
      </c>
      <c r="K2581" s="91">
        <f>IF($W$5=0.2,J2581*1.2,J2581)/$W$4</f>
        <v>430.00000000000006</v>
      </c>
      <c r="L2581" s="131">
        <f>IF(AG2581="","",(1-$W$2)*(AG2581/1.2))</f>
        <v>375</v>
      </c>
      <c r="M2581" s="91">
        <f>IF($W$5=0.2,L2581*1.2,L2581)/$W$4</f>
        <v>450</v>
      </c>
      <c r="N2581" s="104"/>
      <c r="O2581" s="105"/>
      <c r="P2581" s="28"/>
      <c r="Q2581" s="105"/>
      <c r="R2581" s="104"/>
      <c r="S2581" s="105"/>
      <c r="T2581" s="104"/>
      <c r="U2581" s="105"/>
      <c r="V2581" s="104"/>
      <c r="W2581" s="105"/>
      <c r="AC2581" s="331">
        <v>320</v>
      </c>
      <c r="AD2581" s="331">
        <v>350</v>
      </c>
      <c r="AE2581" s="331">
        <v>410</v>
      </c>
      <c r="AF2581" s="331">
        <v>430</v>
      </c>
      <c r="AG2581" s="331">
        <v>450</v>
      </c>
      <c r="AH2581" s="288">
        <v>320</v>
      </c>
      <c r="AI2581" s="288">
        <f>AH2581/AC2581-1</f>
        <v>0</v>
      </c>
      <c r="AJ2581" s="288">
        <v>350</v>
      </c>
      <c r="AK2581" s="288">
        <f>AJ2581/AD2581-1</f>
        <v>0</v>
      </c>
      <c r="AL2581" s="288">
        <v>410</v>
      </c>
      <c r="AM2581" s="1">
        <f>AL2581/AE2581-1</f>
        <v>0</v>
      </c>
      <c r="AN2581" s="288">
        <v>430</v>
      </c>
      <c r="AO2581" s="1">
        <f>AN2581/AF2581-1</f>
        <v>0</v>
      </c>
      <c r="AP2581" s="288">
        <v>450</v>
      </c>
      <c r="AQ2581" s="1">
        <f>AP2581/AG2581-1</f>
        <v>0</v>
      </c>
      <c r="AR2581" s="332"/>
      <c r="AS2581" s="332"/>
    </row>
    <row r="2582" spans="2:45" ht="34.5" customHeight="1">
      <c r="B2582" s="336" t="str">
        <f>IF($C$1="ENG","Plinth 80 mm","Плінтус 80 мм")</f>
        <v>Плінтус 80 мм</v>
      </c>
      <c r="C2582" s="588"/>
      <c r="D2582" s="25">
        <f>IF(AC2582="","",(1-$W$2)*(AC2582/1.2))</f>
        <v>300</v>
      </c>
      <c r="E2582" s="93">
        <f>IF($W$5=0.2,D2582*1.2,D2582)/$W$4</f>
        <v>360</v>
      </c>
      <c r="F2582" s="133">
        <f>IF(AD2582="","",(1-$W$2)*(AD2582/1.2))</f>
        <v>358.33333333333337</v>
      </c>
      <c r="G2582" s="93">
        <f>IF($W$5=0.2,F2582*1.2,F2582)/$W$4</f>
        <v>430.00000000000006</v>
      </c>
      <c r="H2582" s="133">
        <f>IF(AE2582="","",(1-$W$2)*(AE2582/1.2))</f>
        <v>375</v>
      </c>
      <c r="I2582" s="93">
        <f>IF($W$5=0.2,H2582*1.2,H2582)/$W$4</f>
        <v>450</v>
      </c>
      <c r="J2582" s="133">
        <f>IF(AF2582="","",(1-$W$2)*(AF2582/1.2))</f>
        <v>425</v>
      </c>
      <c r="K2582" s="93">
        <f>IF($W$5=0.2,J2582*1.2,J2582)/$W$4</f>
        <v>510</v>
      </c>
      <c r="L2582" s="133">
        <f>IF(AG2582="","",(1-$W$2)*(AG2582/1.2))</f>
        <v>475</v>
      </c>
      <c r="M2582" s="93">
        <f>IF($W$5=0.2,L2582*1.2,L2582)/$W$4</f>
        <v>570</v>
      </c>
      <c r="AC2582" s="331">
        <v>360</v>
      </c>
      <c r="AD2582" s="331">
        <v>430</v>
      </c>
      <c r="AE2582" s="331">
        <v>450</v>
      </c>
      <c r="AF2582" s="331">
        <v>510</v>
      </c>
      <c r="AG2582" s="331">
        <v>570</v>
      </c>
      <c r="AH2582" s="288">
        <v>360</v>
      </c>
      <c r="AI2582" s="288">
        <f>AH2582/AC2582-1</f>
        <v>0</v>
      </c>
      <c r="AJ2582" s="288">
        <v>430</v>
      </c>
      <c r="AK2582" s="288">
        <f>AJ2582/AD2582-1</f>
        <v>0</v>
      </c>
      <c r="AL2582" s="288">
        <v>450</v>
      </c>
      <c r="AM2582" s="1">
        <f>AL2582/AE2582-1</f>
        <v>0</v>
      </c>
      <c r="AN2582" s="288">
        <v>510</v>
      </c>
      <c r="AO2582" s="1">
        <f>AN2582/AF2582-1</f>
        <v>0</v>
      </c>
      <c r="AP2582" s="288">
        <v>570</v>
      </c>
      <c r="AQ2582" s="1">
        <f>AP2582/AG2582-1</f>
        <v>0</v>
      </c>
      <c r="AR2582" s="332"/>
      <c r="AS2582" s="332"/>
    </row>
    <row r="2583" spans="2:45" ht="14.25" customHeight="1">
      <c r="C2583" s="244"/>
      <c r="D2583" s="26"/>
      <c r="E2583" s="26"/>
      <c r="F2583" s="26"/>
      <c r="G2583" s="26"/>
      <c r="H2583" s="5"/>
    </row>
    <row r="2584" spans="2:45">
      <c r="B2584" s="211" t="str">
        <f>IF($C$1="ENG","Orders for skirting plinths are accepted in quantities of 8 pcs.","Замовлення на Плінтус приймаються в кількості від 8 шт.")</f>
        <v>Замовлення на Плінтус приймаються в кількості від 8 шт.</v>
      </c>
      <c r="C2584" s="419"/>
      <c r="D2584" s="212"/>
      <c r="E2584" s="213"/>
      <c r="F2584" s="319"/>
      <c r="G2584" s="319"/>
      <c r="H2584" s="10"/>
      <c r="I2584" s="83"/>
      <c r="J2584" s="8"/>
      <c r="K2584" s="8"/>
      <c r="L2584" s="104"/>
      <c r="N2584" s="104"/>
      <c r="P2584" s="104"/>
      <c r="R2584" s="104"/>
      <c r="U2584" s="20"/>
      <c r="W2584" s="20"/>
    </row>
    <row r="2585" spans="2:45" ht="14.25" customHeight="1">
      <c r="B2585" s="1" t="s">
        <v>58</v>
      </c>
      <c r="C2585" s="244"/>
      <c r="D2585" s="26"/>
      <c r="E2585" s="26"/>
      <c r="F2585" s="26"/>
      <c r="G2585" s="26"/>
      <c r="H2585" s="5"/>
      <c r="T2585" s="570" t="str">
        <f>IF($C$1="ENG",CONCATENATE("down to: ",B2635),CONCATENATE("вниз до: ",B2635))</f>
        <v>вниз до: Фрамуги</v>
      </c>
      <c r="U2585" s="570"/>
      <c r="V2585" s="570"/>
      <c r="W2585" s="570"/>
      <c r="X2585" s="315"/>
      <c r="Y2585" s="315"/>
      <c r="Z2585" s="315"/>
      <c r="AA2585" s="315"/>
      <c r="AB2585" s="315"/>
    </row>
    <row r="2586" spans="2:45" ht="14.25" customHeight="1">
      <c r="C2586" s="244"/>
      <c r="D2586" s="26"/>
      <c r="E2586" s="26"/>
      <c r="F2586" s="26"/>
      <c r="G2586" s="26"/>
      <c r="H2586" s="5"/>
      <c r="U2586" s="316"/>
      <c r="V2586" s="316"/>
      <c r="W2586" s="316"/>
      <c r="X2586" s="316"/>
      <c r="Y2586" s="316"/>
      <c r="Z2586" s="316"/>
      <c r="AA2586" s="316"/>
      <c r="AB2586" s="316"/>
    </row>
    <row r="2587" spans="2:45" ht="14.25" customHeight="1">
      <c r="C2587" s="244"/>
      <c r="D2587" s="26"/>
      <c r="E2587" s="26"/>
      <c r="F2587" s="26"/>
      <c r="G2587" s="26"/>
      <c r="H2587" s="5"/>
    </row>
    <row r="2588" spans="2:45" ht="14.25" customHeight="1">
      <c r="C2588" s="244"/>
      <c r="D2588" s="26"/>
      <c r="E2588" s="26"/>
      <c r="F2588" s="26"/>
      <c r="G2588" s="26"/>
      <c r="H2588" s="5"/>
    </row>
    <row r="2589" spans="2:45" ht="14.25" customHeight="1">
      <c r="C2589" s="244"/>
      <c r="D2589" s="26"/>
      <c r="E2589" s="26"/>
      <c r="F2589" s="26"/>
      <c r="G2589" s="26"/>
      <c r="H2589" s="5"/>
    </row>
    <row r="2590" spans="2:45" ht="14.25" customHeight="1">
      <c r="C2590" s="244"/>
      <c r="D2590" s="26"/>
      <c r="E2590" s="26"/>
      <c r="F2590" s="26"/>
      <c r="G2590" s="26"/>
      <c r="H2590" s="5"/>
    </row>
    <row r="2591" spans="2:45" ht="14.25" customHeight="1">
      <c r="C2591" s="244"/>
      <c r="D2591" s="26"/>
      <c r="E2591" s="26"/>
      <c r="F2591" s="26"/>
      <c r="G2591" s="26"/>
      <c r="H2591" s="5"/>
    </row>
    <row r="2592" spans="2:45" ht="14.25" customHeight="1">
      <c r="C2592" s="244"/>
      <c r="D2592" s="26"/>
      <c r="E2592" s="26"/>
      <c r="F2592" s="26"/>
      <c r="G2592" s="26"/>
      <c r="H2592" s="5"/>
    </row>
    <row r="2593" spans="3:49" ht="14.25" customHeight="1">
      <c r="C2593" s="244"/>
      <c r="D2593" s="26"/>
      <c r="E2593" s="26"/>
      <c r="F2593" s="26"/>
      <c r="G2593" s="26"/>
      <c r="H2593" s="5"/>
    </row>
    <row r="2594" spans="3:49" ht="14.25" customHeight="1">
      <c r="C2594" s="244"/>
      <c r="D2594" s="26"/>
      <c r="E2594" s="26"/>
      <c r="F2594" s="26"/>
      <c r="G2594" s="26"/>
      <c r="H2594" s="5"/>
      <c r="AG2594" s="1">
        <f>W2594/100*13+W2594</f>
        <v>0</v>
      </c>
      <c r="AH2594" s="1" t="e">
        <f>AG2594/W2594-1</f>
        <v>#DIV/0!</v>
      </c>
      <c r="AI2594" s="1">
        <f>X2594/100*13+X2594</f>
        <v>0</v>
      </c>
      <c r="AJ2594" s="1" t="e">
        <f>AI2594/X2594-1</f>
        <v>#DIV/0!</v>
      </c>
      <c r="AK2594" s="1">
        <f>Y2594/100*13+Y2594</f>
        <v>0</v>
      </c>
      <c r="AL2594" s="1" t="e">
        <f>AK2594/Y2594-1</f>
        <v>#DIV/0!</v>
      </c>
      <c r="AM2594" s="1">
        <f>Z2594/100*13+Z2594</f>
        <v>0</v>
      </c>
      <c r="AN2594" s="30" t="e">
        <f>AM2594/Z2594-1</f>
        <v>#DIV/0!</v>
      </c>
      <c r="AO2594" s="30">
        <f>AA2594/100*13+AA2594</f>
        <v>0</v>
      </c>
      <c r="AP2594" s="30" t="e">
        <f>AO2594/AA2594-1</f>
        <v>#DIV/0!</v>
      </c>
      <c r="AQ2594" s="30">
        <f>AB2594/100*13+AB2594</f>
        <v>0</v>
      </c>
      <c r="AR2594" s="30" t="e">
        <f>AQ2594/AB2594-1</f>
        <v>#DIV/0!</v>
      </c>
      <c r="AS2594" s="30">
        <f>AC2594/100*13+AC2594</f>
        <v>0</v>
      </c>
      <c r="AT2594" s="30" t="e">
        <f>AS2594/AC2594-1</f>
        <v>#DIV/0!</v>
      </c>
      <c r="AU2594" s="1">
        <f>AD2594/100*13+AD2594</f>
        <v>0</v>
      </c>
      <c r="AV2594" s="1" t="e">
        <f>AU2594/AD2594-1</f>
        <v>#DIV/0!</v>
      </c>
      <c r="AW2594" s="1">
        <f>AE2594/100*13+AE2594</f>
        <v>0</v>
      </c>
    </row>
    <row r="2595" spans="3:49" ht="14.25" customHeight="1">
      <c r="C2595" s="244"/>
      <c r="D2595" s="26"/>
      <c r="E2595" s="26"/>
      <c r="F2595" s="26"/>
      <c r="G2595" s="26"/>
      <c r="H2595" s="5"/>
      <c r="AG2595" s="1">
        <f t="shared" ref="AG2595:AG2603" si="402">W2595/100*13+W2595</f>
        <v>0</v>
      </c>
      <c r="AH2595" s="1" t="e">
        <f t="shared" ref="AH2595:AH2603" si="403">AG2595/W2595-1</f>
        <v>#DIV/0!</v>
      </c>
      <c r="AI2595" s="1">
        <f t="shared" ref="AI2595:AI2603" si="404">X2595/100*13+X2595</f>
        <v>0</v>
      </c>
      <c r="AJ2595" s="1" t="e">
        <f t="shared" ref="AJ2595:AJ2603" si="405">AI2595/X2595-1</f>
        <v>#DIV/0!</v>
      </c>
      <c r="AK2595" s="1">
        <f t="shared" ref="AK2595:AK2603" si="406">Y2595/100*13+Y2595</f>
        <v>0</v>
      </c>
      <c r="AL2595" s="1" t="e">
        <f t="shared" ref="AL2595:AL2603" si="407">AK2595/Y2595-1</f>
        <v>#DIV/0!</v>
      </c>
      <c r="AM2595" s="1">
        <f t="shared" ref="AM2595:AM2603" si="408">Z2595/100*13+Z2595</f>
        <v>0</v>
      </c>
      <c r="AN2595" s="30" t="e">
        <f t="shared" ref="AN2595:AN2603" si="409">AM2595/Z2595-1</f>
        <v>#DIV/0!</v>
      </c>
      <c r="AO2595" s="30">
        <f t="shared" ref="AO2595:AO2603" si="410">AA2595/100*13+AA2595</f>
        <v>0</v>
      </c>
      <c r="AP2595" s="30" t="e">
        <f t="shared" ref="AP2595:AP2603" si="411">AO2595/AA2595-1</f>
        <v>#DIV/0!</v>
      </c>
      <c r="AQ2595" s="30">
        <f t="shared" ref="AQ2595:AQ2603" si="412">AB2595/100*13+AB2595</f>
        <v>0</v>
      </c>
      <c r="AR2595" s="30" t="e">
        <f t="shared" ref="AR2595:AR2603" si="413">AQ2595/AB2595-1</f>
        <v>#DIV/0!</v>
      </c>
      <c r="AS2595" s="30">
        <f t="shared" ref="AS2595:AS2603" si="414">AC2595/100*13+AC2595</f>
        <v>0</v>
      </c>
      <c r="AT2595" s="30" t="e">
        <f t="shared" ref="AT2595:AT2603" si="415">AS2595/AC2595-1</f>
        <v>#DIV/0!</v>
      </c>
      <c r="AU2595" s="1">
        <f t="shared" ref="AU2595:AU2603" si="416">AD2595/100*13+AD2595</f>
        <v>0</v>
      </c>
      <c r="AV2595" s="1" t="e">
        <f t="shared" ref="AV2595:AV2603" si="417">AU2595/AD2595-1</f>
        <v>#DIV/0!</v>
      </c>
      <c r="AW2595" s="1">
        <f t="shared" ref="AW2595:AW2603" si="418">AE2595/100*13+AE2595</f>
        <v>0</v>
      </c>
    </row>
    <row r="2596" spans="3:49" ht="14.25" customHeight="1">
      <c r="C2596" s="244"/>
      <c r="D2596" s="26"/>
      <c r="E2596" s="26"/>
      <c r="F2596" s="26"/>
      <c r="G2596" s="26"/>
      <c r="H2596" s="5"/>
      <c r="AG2596" s="1">
        <f t="shared" si="402"/>
        <v>0</v>
      </c>
      <c r="AH2596" s="1" t="e">
        <f t="shared" si="403"/>
        <v>#DIV/0!</v>
      </c>
      <c r="AI2596" s="1">
        <f t="shared" si="404"/>
        <v>0</v>
      </c>
      <c r="AJ2596" s="1" t="e">
        <f t="shared" si="405"/>
        <v>#DIV/0!</v>
      </c>
      <c r="AK2596" s="1">
        <f t="shared" si="406"/>
        <v>0</v>
      </c>
      <c r="AL2596" s="1" t="e">
        <f t="shared" si="407"/>
        <v>#DIV/0!</v>
      </c>
      <c r="AM2596" s="1">
        <f t="shared" si="408"/>
        <v>0</v>
      </c>
      <c r="AN2596" s="30" t="e">
        <f t="shared" si="409"/>
        <v>#DIV/0!</v>
      </c>
      <c r="AO2596" s="30">
        <f t="shared" si="410"/>
        <v>0</v>
      </c>
      <c r="AP2596" s="30" t="e">
        <f t="shared" si="411"/>
        <v>#DIV/0!</v>
      </c>
      <c r="AQ2596" s="30">
        <f t="shared" si="412"/>
        <v>0</v>
      </c>
      <c r="AR2596" s="30" t="e">
        <f t="shared" si="413"/>
        <v>#DIV/0!</v>
      </c>
      <c r="AS2596" s="30">
        <f t="shared" si="414"/>
        <v>0</v>
      </c>
      <c r="AT2596" s="30" t="e">
        <f t="shared" si="415"/>
        <v>#DIV/0!</v>
      </c>
      <c r="AU2596" s="1">
        <f t="shared" si="416"/>
        <v>0</v>
      </c>
      <c r="AV2596" s="1" t="e">
        <f t="shared" si="417"/>
        <v>#DIV/0!</v>
      </c>
      <c r="AW2596" s="1">
        <f t="shared" si="418"/>
        <v>0</v>
      </c>
    </row>
    <row r="2597" spans="3:49" ht="14.25" customHeight="1">
      <c r="C2597" s="244"/>
      <c r="D2597" s="26"/>
      <c r="E2597" s="26"/>
      <c r="F2597" s="26"/>
      <c r="G2597" s="26"/>
      <c r="H2597" s="5"/>
      <c r="AG2597" s="1">
        <f t="shared" si="402"/>
        <v>0</v>
      </c>
      <c r="AH2597" s="1" t="e">
        <f t="shared" si="403"/>
        <v>#DIV/0!</v>
      </c>
      <c r="AI2597" s="1">
        <f t="shared" si="404"/>
        <v>0</v>
      </c>
      <c r="AJ2597" s="1" t="e">
        <f t="shared" si="405"/>
        <v>#DIV/0!</v>
      </c>
      <c r="AK2597" s="1">
        <f t="shared" si="406"/>
        <v>0</v>
      </c>
      <c r="AL2597" s="1" t="e">
        <f t="shared" si="407"/>
        <v>#DIV/0!</v>
      </c>
      <c r="AM2597" s="1">
        <f t="shared" si="408"/>
        <v>0</v>
      </c>
      <c r="AN2597" s="30" t="e">
        <f t="shared" si="409"/>
        <v>#DIV/0!</v>
      </c>
      <c r="AO2597" s="30">
        <f t="shared" si="410"/>
        <v>0</v>
      </c>
      <c r="AP2597" s="30" t="e">
        <f t="shared" si="411"/>
        <v>#DIV/0!</v>
      </c>
      <c r="AQ2597" s="30">
        <f t="shared" si="412"/>
        <v>0</v>
      </c>
      <c r="AR2597" s="30" t="e">
        <f t="shared" si="413"/>
        <v>#DIV/0!</v>
      </c>
      <c r="AS2597" s="30">
        <f t="shared" si="414"/>
        <v>0</v>
      </c>
      <c r="AT2597" s="30" t="e">
        <f t="shared" si="415"/>
        <v>#DIV/0!</v>
      </c>
      <c r="AU2597" s="1">
        <f t="shared" si="416"/>
        <v>0</v>
      </c>
      <c r="AV2597" s="1" t="e">
        <f t="shared" si="417"/>
        <v>#DIV/0!</v>
      </c>
      <c r="AW2597" s="1">
        <f t="shared" si="418"/>
        <v>0</v>
      </c>
    </row>
    <row r="2598" spans="3:49" ht="14.25" customHeight="1">
      <c r="C2598" s="244"/>
      <c r="D2598" s="26"/>
      <c r="E2598" s="26"/>
      <c r="F2598" s="26"/>
      <c r="G2598" s="26"/>
      <c r="H2598" s="5"/>
      <c r="AG2598" s="1">
        <f t="shared" si="402"/>
        <v>0</v>
      </c>
      <c r="AH2598" s="1" t="e">
        <f t="shared" si="403"/>
        <v>#DIV/0!</v>
      </c>
      <c r="AI2598" s="1">
        <f t="shared" si="404"/>
        <v>0</v>
      </c>
      <c r="AJ2598" s="1" t="e">
        <f t="shared" si="405"/>
        <v>#DIV/0!</v>
      </c>
      <c r="AK2598" s="1">
        <f t="shared" si="406"/>
        <v>0</v>
      </c>
      <c r="AL2598" s="1" t="e">
        <f t="shared" si="407"/>
        <v>#DIV/0!</v>
      </c>
      <c r="AM2598" s="1">
        <f t="shared" si="408"/>
        <v>0</v>
      </c>
      <c r="AN2598" s="30" t="e">
        <f t="shared" si="409"/>
        <v>#DIV/0!</v>
      </c>
      <c r="AO2598" s="30">
        <f t="shared" si="410"/>
        <v>0</v>
      </c>
      <c r="AP2598" s="30" t="e">
        <f t="shared" si="411"/>
        <v>#DIV/0!</v>
      </c>
      <c r="AQ2598" s="30">
        <f t="shared" si="412"/>
        <v>0</v>
      </c>
      <c r="AR2598" s="30" t="e">
        <f t="shared" si="413"/>
        <v>#DIV/0!</v>
      </c>
      <c r="AS2598" s="30">
        <f t="shared" si="414"/>
        <v>0</v>
      </c>
      <c r="AT2598" s="30" t="e">
        <f t="shared" si="415"/>
        <v>#DIV/0!</v>
      </c>
      <c r="AU2598" s="1">
        <f t="shared" si="416"/>
        <v>0</v>
      </c>
      <c r="AV2598" s="1" t="e">
        <f t="shared" si="417"/>
        <v>#DIV/0!</v>
      </c>
      <c r="AW2598" s="1">
        <f t="shared" si="418"/>
        <v>0</v>
      </c>
    </row>
    <row r="2599" spans="3:49" ht="14.25" customHeight="1">
      <c r="C2599" s="244"/>
      <c r="D2599" s="26"/>
      <c r="E2599" s="26"/>
      <c r="F2599" s="26"/>
      <c r="G2599" s="26"/>
      <c r="H2599" s="5"/>
      <c r="AG2599" s="1">
        <f t="shared" si="402"/>
        <v>0</v>
      </c>
      <c r="AH2599" s="1" t="e">
        <f t="shared" si="403"/>
        <v>#DIV/0!</v>
      </c>
      <c r="AI2599" s="1">
        <f t="shared" si="404"/>
        <v>0</v>
      </c>
      <c r="AJ2599" s="1" t="e">
        <f t="shared" si="405"/>
        <v>#DIV/0!</v>
      </c>
      <c r="AK2599" s="1">
        <f t="shared" si="406"/>
        <v>0</v>
      </c>
      <c r="AL2599" s="1" t="e">
        <f t="shared" si="407"/>
        <v>#DIV/0!</v>
      </c>
      <c r="AM2599" s="1">
        <f t="shared" si="408"/>
        <v>0</v>
      </c>
      <c r="AN2599" s="30" t="e">
        <f t="shared" si="409"/>
        <v>#DIV/0!</v>
      </c>
      <c r="AO2599" s="30">
        <f t="shared" si="410"/>
        <v>0</v>
      </c>
      <c r="AP2599" s="30" t="e">
        <f t="shared" si="411"/>
        <v>#DIV/0!</v>
      </c>
      <c r="AQ2599" s="30">
        <f t="shared" si="412"/>
        <v>0</v>
      </c>
      <c r="AR2599" s="30" t="e">
        <f t="shared" si="413"/>
        <v>#DIV/0!</v>
      </c>
      <c r="AS2599" s="30">
        <f t="shared" si="414"/>
        <v>0</v>
      </c>
      <c r="AT2599" s="30" t="e">
        <f t="shared" si="415"/>
        <v>#DIV/0!</v>
      </c>
      <c r="AU2599" s="1">
        <f t="shared" si="416"/>
        <v>0</v>
      </c>
      <c r="AV2599" s="1" t="e">
        <f t="shared" si="417"/>
        <v>#DIV/0!</v>
      </c>
      <c r="AW2599" s="1">
        <f t="shared" si="418"/>
        <v>0</v>
      </c>
    </row>
    <row r="2600" spans="3:49" ht="14.25" customHeight="1">
      <c r="C2600" s="244"/>
      <c r="D2600" s="26"/>
      <c r="E2600" s="26"/>
      <c r="F2600" s="26"/>
      <c r="G2600" s="26"/>
      <c r="H2600" s="5"/>
      <c r="AG2600" s="1">
        <f t="shared" si="402"/>
        <v>0</v>
      </c>
      <c r="AH2600" s="1" t="e">
        <f t="shared" si="403"/>
        <v>#DIV/0!</v>
      </c>
      <c r="AI2600" s="1">
        <f t="shared" si="404"/>
        <v>0</v>
      </c>
      <c r="AJ2600" s="1" t="e">
        <f t="shared" si="405"/>
        <v>#DIV/0!</v>
      </c>
      <c r="AK2600" s="1">
        <f t="shared" si="406"/>
        <v>0</v>
      </c>
      <c r="AL2600" s="1" t="e">
        <f t="shared" si="407"/>
        <v>#DIV/0!</v>
      </c>
      <c r="AM2600" s="1">
        <f t="shared" si="408"/>
        <v>0</v>
      </c>
      <c r="AN2600" s="30" t="e">
        <f t="shared" si="409"/>
        <v>#DIV/0!</v>
      </c>
      <c r="AO2600" s="30">
        <f t="shared" si="410"/>
        <v>0</v>
      </c>
      <c r="AP2600" s="30" t="e">
        <f t="shared" si="411"/>
        <v>#DIV/0!</v>
      </c>
      <c r="AQ2600" s="30">
        <f t="shared" si="412"/>
        <v>0</v>
      </c>
      <c r="AR2600" s="30" t="e">
        <f t="shared" si="413"/>
        <v>#DIV/0!</v>
      </c>
      <c r="AS2600" s="30">
        <f t="shared" si="414"/>
        <v>0</v>
      </c>
      <c r="AT2600" s="30" t="e">
        <f t="shared" si="415"/>
        <v>#DIV/0!</v>
      </c>
      <c r="AU2600" s="1">
        <f t="shared" si="416"/>
        <v>0</v>
      </c>
      <c r="AV2600" s="1" t="e">
        <f t="shared" si="417"/>
        <v>#DIV/0!</v>
      </c>
      <c r="AW2600" s="1">
        <f t="shared" si="418"/>
        <v>0</v>
      </c>
    </row>
    <row r="2601" spans="3:49" ht="14.25" customHeight="1">
      <c r="C2601" s="244"/>
      <c r="D2601" s="26"/>
      <c r="E2601" s="26"/>
      <c r="F2601" s="26"/>
      <c r="G2601" s="26"/>
      <c r="H2601" s="5"/>
      <c r="AG2601" s="1">
        <f t="shared" si="402"/>
        <v>0</v>
      </c>
      <c r="AH2601" s="1" t="e">
        <f t="shared" si="403"/>
        <v>#DIV/0!</v>
      </c>
      <c r="AI2601" s="1">
        <f t="shared" si="404"/>
        <v>0</v>
      </c>
      <c r="AJ2601" s="1" t="e">
        <f t="shared" si="405"/>
        <v>#DIV/0!</v>
      </c>
      <c r="AK2601" s="1">
        <f t="shared" si="406"/>
        <v>0</v>
      </c>
      <c r="AL2601" s="1" t="e">
        <f t="shared" si="407"/>
        <v>#DIV/0!</v>
      </c>
      <c r="AM2601" s="1">
        <f t="shared" si="408"/>
        <v>0</v>
      </c>
      <c r="AN2601" s="30" t="e">
        <f t="shared" si="409"/>
        <v>#DIV/0!</v>
      </c>
      <c r="AO2601" s="30">
        <f t="shared" si="410"/>
        <v>0</v>
      </c>
      <c r="AP2601" s="30" t="e">
        <f t="shared" si="411"/>
        <v>#DIV/0!</v>
      </c>
      <c r="AQ2601" s="30">
        <f t="shared" si="412"/>
        <v>0</v>
      </c>
      <c r="AR2601" s="30" t="e">
        <f t="shared" si="413"/>
        <v>#DIV/0!</v>
      </c>
      <c r="AS2601" s="30">
        <f t="shared" si="414"/>
        <v>0</v>
      </c>
      <c r="AT2601" s="30" t="e">
        <f t="shared" si="415"/>
        <v>#DIV/0!</v>
      </c>
      <c r="AU2601" s="1">
        <f t="shared" si="416"/>
        <v>0</v>
      </c>
      <c r="AV2601" s="1" t="e">
        <f t="shared" si="417"/>
        <v>#DIV/0!</v>
      </c>
      <c r="AW2601" s="1">
        <f t="shared" si="418"/>
        <v>0</v>
      </c>
    </row>
    <row r="2602" spans="3:49" ht="14.25" customHeight="1">
      <c r="C2602" s="244"/>
      <c r="D2602" s="26"/>
      <c r="E2602" s="26"/>
      <c r="F2602" s="26"/>
      <c r="G2602" s="26"/>
      <c r="H2602" s="5"/>
      <c r="AG2602" s="1">
        <f t="shared" si="402"/>
        <v>0</v>
      </c>
      <c r="AH2602" s="1" t="e">
        <f t="shared" si="403"/>
        <v>#DIV/0!</v>
      </c>
      <c r="AI2602" s="1">
        <f t="shared" si="404"/>
        <v>0</v>
      </c>
      <c r="AJ2602" s="1" t="e">
        <f t="shared" si="405"/>
        <v>#DIV/0!</v>
      </c>
      <c r="AK2602" s="1">
        <f t="shared" si="406"/>
        <v>0</v>
      </c>
      <c r="AL2602" s="1" t="e">
        <f t="shared" si="407"/>
        <v>#DIV/0!</v>
      </c>
      <c r="AM2602" s="1">
        <f t="shared" si="408"/>
        <v>0</v>
      </c>
      <c r="AN2602" s="30" t="e">
        <f t="shared" si="409"/>
        <v>#DIV/0!</v>
      </c>
      <c r="AO2602" s="30">
        <f t="shared" si="410"/>
        <v>0</v>
      </c>
      <c r="AP2602" s="30" t="e">
        <f t="shared" si="411"/>
        <v>#DIV/0!</v>
      </c>
      <c r="AQ2602" s="30">
        <f t="shared" si="412"/>
        <v>0</v>
      </c>
      <c r="AR2602" s="30" t="e">
        <f t="shared" si="413"/>
        <v>#DIV/0!</v>
      </c>
      <c r="AS2602" s="30">
        <f t="shared" si="414"/>
        <v>0</v>
      </c>
      <c r="AT2602" s="30" t="e">
        <f t="shared" si="415"/>
        <v>#DIV/0!</v>
      </c>
      <c r="AU2602" s="1">
        <f t="shared" si="416"/>
        <v>0</v>
      </c>
      <c r="AV2602" s="1" t="e">
        <f t="shared" si="417"/>
        <v>#DIV/0!</v>
      </c>
      <c r="AW2602" s="1">
        <f t="shared" si="418"/>
        <v>0</v>
      </c>
    </row>
    <row r="2603" spans="3:49" ht="14.25" customHeight="1">
      <c r="C2603" s="244"/>
      <c r="D2603" s="26"/>
      <c r="E2603" s="26"/>
      <c r="F2603" s="26"/>
      <c r="G2603" s="26"/>
      <c r="H2603" s="5"/>
      <c r="AG2603" s="1">
        <f t="shared" si="402"/>
        <v>0</v>
      </c>
      <c r="AH2603" s="1" t="e">
        <f t="shared" si="403"/>
        <v>#DIV/0!</v>
      </c>
      <c r="AI2603" s="1">
        <f t="shared" si="404"/>
        <v>0</v>
      </c>
      <c r="AJ2603" s="1" t="e">
        <f t="shared" si="405"/>
        <v>#DIV/0!</v>
      </c>
      <c r="AK2603" s="1">
        <f t="shared" si="406"/>
        <v>0</v>
      </c>
      <c r="AL2603" s="1" t="e">
        <f t="shared" si="407"/>
        <v>#DIV/0!</v>
      </c>
      <c r="AM2603" s="1">
        <f t="shared" si="408"/>
        <v>0</v>
      </c>
      <c r="AN2603" s="30" t="e">
        <f t="shared" si="409"/>
        <v>#DIV/0!</v>
      </c>
      <c r="AO2603" s="30">
        <f t="shared" si="410"/>
        <v>0</v>
      </c>
      <c r="AP2603" s="30" t="e">
        <f t="shared" si="411"/>
        <v>#DIV/0!</v>
      </c>
      <c r="AQ2603" s="30">
        <f t="shared" si="412"/>
        <v>0</v>
      </c>
      <c r="AR2603" s="30" t="e">
        <f t="shared" si="413"/>
        <v>#DIV/0!</v>
      </c>
      <c r="AS2603" s="30">
        <f t="shared" si="414"/>
        <v>0</v>
      </c>
      <c r="AT2603" s="30" t="e">
        <f t="shared" si="415"/>
        <v>#DIV/0!</v>
      </c>
      <c r="AU2603" s="1">
        <f t="shared" si="416"/>
        <v>0</v>
      </c>
      <c r="AV2603" s="1" t="e">
        <f t="shared" si="417"/>
        <v>#DIV/0!</v>
      </c>
      <c r="AW2603" s="1">
        <f t="shared" si="418"/>
        <v>0</v>
      </c>
    </row>
    <row r="2604" spans="3:49" ht="14.25" customHeight="1">
      <c r="C2604" s="244"/>
      <c r="D2604" s="26"/>
      <c r="E2604" s="26"/>
      <c r="F2604" s="26"/>
      <c r="G2604" s="26"/>
      <c r="H2604" s="5"/>
    </row>
    <row r="2605" spans="3:49" ht="14.25" customHeight="1">
      <c r="C2605" s="244"/>
      <c r="D2605" s="26"/>
      <c r="E2605" s="26"/>
      <c r="F2605" s="26"/>
      <c r="G2605" s="26"/>
      <c r="H2605" s="5"/>
    </row>
    <row r="2606" spans="3:49" ht="14.25" customHeight="1">
      <c r="C2606" s="244"/>
      <c r="D2606" s="26"/>
      <c r="E2606" s="26"/>
      <c r="F2606" s="26"/>
      <c r="G2606" s="26"/>
      <c r="H2606" s="5"/>
    </row>
    <row r="2607" spans="3:49" ht="14.25" customHeight="1">
      <c r="C2607" s="244"/>
      <c r="D2607" s="26"/>
      <c r="E2607" s="26"/>
      <c r="F2607" s="26"/>
      <c r="G2607" s="26"/>
      <c r="H2607" s="5"/>
    </row>
    <row r="2608" spans="3:49" ht="14.25" customHeight="1">
      <c r="C2608" s="244"/>
      <c r="D2608" s="26"/>
      <c r="E2608" s="26"/>
      <c r="F2608" s="26"/>
      <c r="G2608" s="26"/>
      <c r="H2608" s="5"/>
    </row>
    <row r="2609" spans="3:8" ht="14.25" customHeight="1">
      <c r="C2609" s="244"/>
      <c r="D2609" s="26"/>
      <c r="E2609" s="26"/>
      <c r="F2609" s="26"/>
      <c r="G2609" s="26"/>
      <c r="H2609" s="5"/>
    </row>
    <row r="2610" spans="3:8" ht="14.25" customHeight="1">
      <c r="C2610" s="244"/>
      <c r="D2610" s="26"/>
      <c r="E2610" s="26"/>
      <c r="F2610" s="26"/>
      <c r="G2610" s="26"/>
      <c r="H2610" s="5"/>
    </row>
    <row r="2611" spans="3:8" ht="14.25" customHeight="1">
      <c r="C2611" s="244"/>
      <c r="D2611" s="26"/>
      <c r="E2611" s="26"/>
      <c r="F2611" s="26"/>
      <c r="G2611" s="26"/>
      <c r="H2611" s="5"/>
    </row>
    <row r="2612" spans="3:8" ht="14.25" customHeight="1">
      <c r="C2612" s="244"/>
      <c r="D2612" s="26"/>
      <c r="E2612" s="26"/>
      <c r="F2612" s="26"/>
      <c r="G2612" s="26"/>
      <c r="H2612" s="5"/>
    </row>
    <row r="2613" spans="3:8" ht="14.25" customHeight="1">
      <c r="C2613" s="244"/>
      <c r="D2613" s="26"/>
      <c r="E2613" s="26"/>
      <c r="F2613" s="26"/>
      <c r="G2613" s="26"/>
      <c r="H2613" s="5"/>
    </row>
    <row r="2614" spans="3:8" ht="14.25" customHeight="1">
      <c r="C2614" s="244"/>
      <c r="D2614" s="26"/>
      <c r="E2614" s="26"/>
      <c r="F2614" s="26"/>
      <c r="G2614" s="26"/>
      <c r="H2614" s="5"/>
    </row>
    <row r="2615" spans="3:8" ht="14.25" customHeight="1">
      <c r="C2615" s="244"/>
      <c r="D2615" s="26"/>
      <c r="E2615" s="26"/>
      <c r="F2615" s="26"/>
      <c r="G2615" s="26"/>
      <c r="H2615" s="5"/>
    </row>
    <row r="2616" spans="3:8" ht="14.25" customHeight="1">
      <c r="C2616" s="244"/>
      <c r="D2616" s="26"/>
      <c r="E2616" s="26"/>
      <c r="F2616" s="26"/>
      <c r="G2616" s="26"/>
      <c r="H2616" s="5"/>
    </row>
    <row r="2617" spans="3:8" ht="14.25" customHeight="1">
      <c r="C2617" s="244"/>
      <c r="D2617" s="26"/>
      <c r="E2617" s="26"/>
      <c r="F2617" s="26"/>
      <c r="G2617" s="26"/>
      <c r="H2617" s="5"/>
    </row>
    <row r="2618" spans="3:8" ht="14.25" customHeight="1">
      <c r="C2618" s="244"/>
      <c r="D2618" s="26"/>
      <c r="E2618" s="26"/>
      <c r="F2618" s="26"/>
      <c r="G2618" s="26"/>
      <c r="H2618" s="5"/>
    </row>
    <row r="2619" spans="3:8" ht="14.25" customHeight="1">
      <c r="C2619" s="244"/>
      <c r="D2619" s="26"/>
      <c r="E2619" s="26"/>
      <c r="F2619" s="26"/>
      <c r="G2619" s="26"/>
      <c r="H2619" s="5"/>
    </row>
    <row r="2620" spans="3:8" ht="14.25" customHeight="1">
      <c r="C2620" s="244"/>
      <c r="D2620" s="26"/>
      <c r="E2620" s="26"/>
      <c r="F2620" s="26"/>
      <c r="G2620" s="26"/>
      <c r="H2620" s="5"/>
    </row>
    <row r="2621" spans="3:8" ht="14.25" customHeight="1">
      <c r="C2621" s="244"/>
      <c r="D2621" s="26"/>
      <c r="E2621" s="26"/>
      <c r="F2621" s="26"/>
      <c r="G2621" s="26"/>
      <c r="H2621" s="5"/>
    </row>
    <row r="2622" spans="3:8" ht="14.25" customHeight="1">
      <c r="C2622" s="244"/>
      <c r="D2622" s="26"/>
      <c r="E2622" s="26"/>
      <c r="F2622" s="26"/>
      <c r="G2622" s="26"/>
      <c r="H2622" s="5"/>
    </row>
    <row r="2623" spans="3:8" ht="14.25" customHeight="1">
      <c r="C2623" s="244"/>
      <c r="D2623" s="26"/>
      <c r="E2623" s="26"/>
      <c r="F2623" s="26"/>
      <c r="G2623" s="26"/>
      <c r="H2623" s="5"/>
    </row>
    <row r="2624" spans="3:8" ht="14.25" customHeight="1">
      <c r="C2624" s="244"/>
      <c r="D2624" s="26"/>
      <c r="E2624" s="26"/>
      <c r="F2624" s="26"/>
      <c r="G2624" s="26"/>
      <c r="H2624" s="5"/>
    </row>
    <row r="2625" spans="1:46" ht="14.25" customHeight="1">
      <c r="C2625" s="244"/>
      <c r="D2625" s="26"/>
      <c r="E2625" s="26"/>
      <c r="F2625" s="26"/>
      <c r="G2625" s="26"/>
      <c r="H2625" s="5"/>
    </row>
    <row r="2626" spans="1:46" ht="14.25" customHeight="1">
      <c r="C2626" s="244"/>
      <c r="D2626" s="26"/>
      <c r="E2626" s="26"/>
      <c r="F2626" s="26"/>
      <c r="G2626" s="26"/>
      <c r="H2626" s="5"/>
    </row>
    <row r="2627" spans="1:46" ht="14.25" customHeight="1">
      <c r="C2627" s="244"/>
      <c r="D2627" s="26"/>
      <c r="E2627" s="26"/>
      <c r="F2627" s="26"/>
      <c r="G2627" s="26"/>
      <c r="H2627" s="5"/>
    </row>
    <row r="2628" spans="1:46" ht="14.25" customHeight="1">
      <c r="C2628" s="244"/>
      <c r="D2628" s="26"/>
      <c r="E2628" s="26"/>
      <c r="F2628" s="26"/>
      <c r="G2628" s="26"/>
      <c r="H2628" s="5"/>
    </row>
    <row r="2629" spans="1:46" ht="14.25" customHeight="1">
      <c r="C2629" s="244"/>
      <c r="D2629" s="26"/>
      <c r="E2629" s="26"/>
      <c r="F2629" s="26"/>
      <c r="G2629" s="26"/>
      <c r="H2629" s="5"/>
    </row>
    <row r="2630" spans="1:46" ht="14.25" customHeight="1">
      <c r="C2630" s="244"/>
      <c r="D2630" s="26"/>
      <c r="E2630" s="26"/>
      <c r="F2630" s="26"/>
      <c r="G2630" s="26"/>
      <c r="H2630" s="5"/>
    </row>
    <row r="2631" spans="1:46" ht="14.25" customHeight="1">
      <c r="C2631" s="244"/>
      <c r="D2631" s="26"/>
      <c r="E2631" s="26"/>
      <c r="F2631" s="26"/>
      <c r="G2631" s="26"/>
      <c r="H2631" s="5"/>
      <c r="AO2631" s="1">
        <v>850</v>
      </c>
    </row>
    <row r="2632" spans="1:46" ht="14.25" customHeight="1">
      <c r="C2632" s="244"/>
      <c r="D2632" s="26"/>
      <c r="E2632" s="26"/>
      <c r="F2632" s="26"/>
      <c r="G2632" s="26"/>
      <c r="H2632" s="5"/>
      <c r="T2632" s="293"/>
      <c r="U2632" s="293"/>
      <c r="V2632" s="293"/>
      <c r="W2632" s="293"/>
    </row>
    <row r="2633" spans="1:46" ht="14.25" customHeight="1">
      <c r="C2633" s="244"/>
      <c r="D2633" s="26"/>
      <c r="E2633" s="26"/>
      <c r="F2633" s="26"/>
      <c r="G2633" s="26"/>
      <c r="H2633" s="5"/>
      <c r="I2633" s="26"/>
      <c r="T2633" s="293"/>
      <c r="U2633" s="293"/>
      <c r="V2633" s="293"/>
      <c r="W2633" s="293"/>
    </row>
    <row r="2634" spans="1:46" ht="14.25" customHeight="1">
      <c r="C2634" s="244"/>
      <c r="D2634" s="26"/>
      <c r="E2634" s="26"/>
      <c r="F2634" s="26"/>
      <c r="G2634" s="26"/>
      <c r="H2634" s="5"/>
      <c r="T2634" s="293"/>
      <c r="U2634" s="293"/>
      <c r="V2634" s="293"/>
      <c r="W2634" s="293"/>
    </row>
    <row r="2635" spans="1:46" s="8" customFormat="1">
      <c r="B2635" s="549" t="str">
        <f>TITLE!$C$47</f>
        <v>Фрамуги</v>
      </c>
      <c r="C2635" s="550"/>
      <c r="D2635" s="117"/>
      <c r="E2635" s="117"/>
      <c r="F2635" s="117"/>
      <c r="G2635" s="117"/>
      <c r="H2635" s="552"/>
      <c r="I2635" s="552"/>
      <c r="J2635" s="120"/>
      <c r="K2635" s="120"/>
      <c r="L2635" s="120"/>
      <c r="M2635" s="120"/>
      <c r="N2635" s="120"/>
      <c r="O2635" s="120"/>
      <c r="P2635" s="120"/>
      <c r="Q2635" s="120"/>
      <c r="R2635" s="120"/>
      <c r="S2635" s="120"/>
      <c r="T2635" s="545" t="str">
        <f>IF($C$1="ENG",CONCATENATE("up to: ",B2577),CONCATENATE("вгору до: ",B2577))</f>
        <v>вгору до: Плінтуси</v>
      </c>
      <c r="U2635" s="545"/>
      <c r="V2635" s="545"/>
      <c r="W2635" s="545"/>
      <c r="AC2635" s="1"/>
      <c r="AD2635" s="1"/>
      <c r="AE2635" s="1"/>
      <c r="AF2635" s="1"/>
      <c r="AG2635" s="1"/>
      <c r="AI2635" s="1"/>
      <c r="AK2635" s="1"/>
      <c r="AN2635" s="279"/>
      <c r="AO2635" s="279"/>
      <c r="AP2635" s="279"/>
      <c r="AQ2635" s="279"/>
      <c r="AR2635" s="279"/>
      <c r="AS2635" s="279"/>
      <c r="AT2635" s="279"/>
    </row>
    <row r="2636" spans="1:46" s="8" customFormat="1" ht="5.0999999999999996" customHeight="1">
      <c r="C2636" s="422"/>
      <c r="L2636" s="48"/>
      <c r="M2636" s="48"/>
      <c r="N2636" s="48"/>
      <c r="O2636" s="48"/>
      <c r="P2636" s="48"/>
      <c r="Q2636" s="48"/>
      <c r="R2636" s="48"/>
      <c r="S2636" s="48"/>
      <c r="T2636" s="114"/>
      <c r="U2636" s="114"/>
      <c r="V2636" s="114"/>
      <c r="W2636" s="114"/>
      <c r="AC2636" s="1"/>
      <c r="AE2636" s="1"/>
      <c r="AG2636" s="1"/>
      <c r="AI2636" s="1"/>
      <c r="AK2636" s="1"/>
      <c r="AN2636" s="279"/>
      <c r="AO2636" s="279"/>
      <c r="AP2636" s="279"/>
      <c r="AQ2636" s="279"/>
      <c r="AR2636" s="279"/>
      <c r="AS2636" s="279"/>
      <c r="AT2636" s="279"/>
    </row>
    <row r="2637" spans="1:46" ht="24.75" customHeight="1">
      <c r="A2637" s="8"/>
      <c r="B2637" s="304" t="str">
        <f>IF($C$1="ENG","model","модель")</f>
        <v>модель</v>
      </c>
      <c r="C2637" s="121" t="str">
        <f>IF($C$1="ENG","cover:","покриття:")</f>
        <v>покриття:</v>
      </c>
      <c r="D2637" s="538" t="str">
        <f>IF($C$1="ENG","SIMPL / V-CELL ","SIMPL / V-CELL / V-C Plus")</f>
        <v>SIMPL / V-CELL / V-C Plus</v>
      </c>
      <c r="E2637" s="539"/>
      <c r="F2637" s="538" t="str">
        <f>IF($C$1="ENG","UNI-MAT","UNI-MAT")</f>
        <v>UNI-MAT</v>
      </c>
      <c r="G2637" s="539"/>
      <c r="H2637" s="538" t="str">
        <f>IF($C$1="ENG","RESIST","RESIST")</f>
        <v>RESIST</v>
      </c>
      <c r="I2637" s="539"/>
      <c r="J2637" s="538" t="str">
        <f>IF($C$1="ENG","Verto LINE-3D","Verto LINE-3D")</f>
        <v>Verto LINE-3D</v>
      </c>
      <c r="K2637" s="539"/>
      <c r="L2637" s="538" t="str">
        <f>IF($C$1="ENG","ECO Shpon / LOFT","ЕКО Шпон / LOFT")</f>
        <v>ЕКО Шпон / LOFT</v>
      </c>
      <c r="M2637" s="539"/>
      <c r="N2637" s="47"/>
      <c r="O2637" s="47"/>
      <c r="P2637" s="47"/>
      <c r="Q2637" s="47"/>
      <c r="R2637" s="47"/>
      <c r="S2637" s="47"/>
      <c r="AC2637" s="383">
        <v>0.1</v>
      </c>
    </row>
    <row r="2638" spans="1:46" ht="12.75" customHeight="1">
      <c r="A2638" s="8"/>
      <c r="B2638" s="305"/>
      <c r="C2638" s="123" t="str">
        <f>IF($C$1="ENG","type:","виконання:")</f>
        <v>виконання:</v>
      </c>
      <c r="D2638" s="542" t="str">
        <f>IF($C$1="ENG","for 1 meter","за 1 пг.м")</f>
        <v>за 1 пг.м</v>
      </c>
      <c r="E2638" s="543"/>
      <c r="F2638" s="542" t="str">
        <f>IF($C$1="ENG","for 1 meter","за 1 пг.м")</f>
        <v>за 1 пг.м</v>
      </c>
      <c r="G2638" s="543"/>
      <c r="H2638" s="542" t="str">
        <f>IF($C$1="ENG","for 1 meter","за 1 пг.м")</f>
        <v>за 1 пг.м</v>
      </c>
      <c r="I2638" s="543"/>
      <c r="J2638" s="542" t="str">
        <f>IF($C$1="ENG","for 1 meter","за 1 пг.м")</f>
        <v>за 1 пг.м</v>
      </c>
      <c r="K2638" s="543"/>
      <c r="L2638" s="542" t="str">
        <f>IF($C$1="ENG","for 1 meter","за 1 пг.м")</f>
        <v>за 1 пг.м</v>
      </c>
      <c r="M2638" s="543"/>
      <c r="N2638" s="47"/>
      <c r="O2638" s="47"/>
      <c r="P2638" s="47"/>
      <c r="Q2638" s="47"/>
      <c r="R2638" s="47"/>
      <c r="S2638" s="47"/>
      <c r="AN2638" s="30">
        <v>0.15</v>
      </c>
    </row>
    <row r="2639" spans="1:46" s="48" customFormat="1" ht="24.75" customHeight="1">
      <c r="B2639" s="54" t="str">
        <f>IF($C$1="ENG","TRANSOM STANDART","ФРАМУГА STANDART")</f>
        <v>ФРАМУГА STANDART</v>
      </c>
      <c r="C2639" s="426"/>
      <c r="D2639" s="28"/>
      <c r="E2639" s="29"/>
      <c r="F2639" s="28"/>
      <c r="G2639" s="29"/>
      <c r="H2639" s="29"/>
      <c r="I2639" s="29"/>
      <c r="J2639" s="29"/>
      <c r="K2639" s="29"/>
      <c r="L2639" s="29"/>
      <c r="M2639" s="29"/>
      <c r="N2639" s="29"/>
      <c r="O2639" s="29"/>
      <c r="P2639" s="28"/>
      <c r="Q2639" s="29"/>
      <c r="R2639" s="29"/>
      <c r="S2639" s="29"/>
      <c r="T2639" s="52"/>
      <c r="U2639" s="30"/>
      <c r="W2639" s="30"/>
      <c r="AN2639" s="56"/>
      <c r="AO2639" s="56"/>
      <c r="AP2639" s="56"/>
      <c r="AQ2639" s="56"/>
      <c r="AR2639" s="56"/>
      <c r="AS2639" s="56"/>
      <c r="AT2639" s="56"/>
    </row>
    <row r="2640" spans="1:46" ht="34.5" customHeight="1">
      <c r="A2640" s="8"/>
      <c r="B2640" s="276" t="str">
        <f>IF($C$1="ENG","Transom wood 80 mm","Фрамуга дерево 80 мм")</f>
        <v>Фрамуга дерево 80 мм</v>
      </c>
      <c r="C2640" s="326"/>
      <c r="D2640" s="51">
        <f>IF(AC2640="","",(1-$W$2)*(AC2640/1.2))</f>
        <v>625</v>
      </c>
      <c r="E2640" s="84">
        <f>IF($W$5=0.2,D2640*1.2,D2640)/$W$4</f>
        <v>750</v>
      </c>
      <c r="F2640" s="51">
        <f>IF(AD2640="","",(1-$W$2)*(AD2640/1.2))</f>
        <v>700</v>
      </c>
      <c r="G2640" s="84">
        <f>IF($W$5=0.2,F2640*1.2,F2640)/$W$4</f>
        <v>840</v>
      </c>
      <c r="H2640" s="51">
        <f>IF(AE2640="","",(1-$W$2)*(AE2640/1.2))</f>
        <v>733.33333333333337</v>
      </c>
      <c r="I2640" s="84">
        <f>IF($W$5=0.2,H2640*1.2,H2640)/$W$4</f>
        <v>880</v>
      </c>
      <c r="J2640" s="51">
        <f>IF(AF2640="","",(1-$W$2)*(AF2640/1.2))</f>
        <v>800</v>
      </c>
      <c r="K2640" s="84">
        <f>IF($W$5=0.2,J2640*1.2,J2640)/$W$4</f>
        <v>960</v>
      </c>
      <c r="L2640" s="51">
        <f>IF(AG2640="","",(1-$W$2)*(AG2640/1.2))</f>
        <v>883.33333333333337</v>
      </c>
      <c r="M2640" s="84">
        <f>IF($W$5=0.2,L2640*1.2,L2640)/$W$4</f>
        <v>1060</v>
      </c>
      <c r="N2640" s="104"/>
      <c r="O2640" s="105"/>
      <c r="P2640" s="28"/>
      <c r="Q2640" s="105"/>
      <c r="R2640" s="104"/>
      <c r="S2640" s="105"/>
      <c r="T2640" s="104"/>
      <c r="U2640" s="105"/>
      <c r="V2640" s="104"/>
      <c r="W2640" s="105"/>
      <c r="X2640" s="22"/>
      <c r="Y2640" s="22"/>
      <c r="Z2640" s="22"/>
      <c r="AA2640" s="22"/>
      <c r="AB2640" s="22"/>
      <c r="AC2640" s="331">
        <v>750</v>
      </c>
      <c r="AD2640" s="331">
        <v>840</v>
      </c>
      <c r="AE2640" s="331">
        <v>880</v>
      </c>
      <c r="AF2640" s="331">
        <v>960</v>
      </c>
      <c r="AG2640" s="331">
        <v>1060</v>
      </c>
      <c r="AH2640" s="1">
        <v>750</v>
      </c>
      <c r="AI2640" s="1">
        <f>AH2640/AC2640-1</f>
        <v>0</v>
      </c>
      <c r="AJ2640" s="1">
        <v>840</v>
      </c>
      <c r="AK2640" s="1">
        <f>AJ2640/AD2640-1</f>
        <v>0</v>
      </c>
      <c r="AL2640" s="1">
        <v>880</v>
      </c>
      <c r="AM2640" s="1">
        <f>AL2640/AE2640-1</f>
        <v>0</v>
      </c>
      <c r="AN2640" s="1">
        <v>960</v>
      </c>
      <c r="AO2640" s="1">
        <f>AN2640/AF2640-1</f>
        <v>0</v>
      </c>
      <c r="AP2640" s="1">
        <v>1060</v>
      </c>
      <c r="AQ2640" s="1">
        <f>AP2640/AG2640-1</f>
        <v>0</v>
      </c>
      <c r="AR2640" s="332"/>
      <c r="AS2640" s="332"/>
    </row>
    <row r="2641" spans="1:46" s="48" customFormat="1" ht="24.75" customHeight="1">
      <c r="B2641" s="54" t="str">
        <f>IF($C$1="ENG","TRANSOM VERTO-FIT","ФРАМУГА VERTO-FIT")</f>
        <v>ФРАМУГА VERTO-FIT</v>
      </c>
      <c r="C2641" s="426"/>
      <c r="D2641" s="28"/>
      <c r="E2641" s="59"/>
      <c r="F2641" s="28"/>
      <c r="G2641" s="59"/>
      <c r="H2641" s="28"/>
      <c r="I2641" s="29"/>
      <c r="J2641" s="152"/>
      <c r="K2641" s="153"/>
      <c r="L2641" s="152"/>
      <c r="M2641" s="153"/>
      <c r="N2641" s="28"/>
      <c r="O2641" s="29"/>
      <c r="P2641" s="28"/>
      <c r="Q2641" s="29"/>
      <c r="R2641" s="28"/>
      <c r="S2641" s="29"/>
      <c r="T2641" s="29"/>
      <c r="U2641" s="29"/>
      <c r="W2641" s="29"/>
      <c r="AN2641" s="56"/>
      <c r="AO2641" s="56"/>
      <c r="AP2641" s="56"/>
      <c r="AQ2641" s="56"/>
      <c r="AR2641" s="56"/>
      <c r="AS2641" s="56"/>
      <c r="AT2641" s="56"/>
    </row>
    <row r="2642" spans="1:46">
      <c r="A2642" s="8"/>
      <c r="B2642" s="13" t="str">
        <f>IF($C$1="ENG","A (75 - 95 mm)","A (75 - 95 мм)")</f>
        <v>A (75 - 95 мм)</v>
      </c>
      <c r="C2642" s="424"/>
      <c r="D2642" s="15">
        <f t="shared" ref="D2642:D2651" si="419">IF(AC2642="","",(1-$W$2)*(AC2642/1.2))</f>
        <v>816.66666666666674</v>
      </c>
      <c r="E2642" s="64">
        <f t="shared" ref="E2642:E2651" si="420">IF($W$5=0.2,D2642*1.2,D2642)/$W$4</f>
        <v>980</v>
      </c>
      <c r="F2642" s="15">
        <f t="shared" ref="F2642:F2651" si="421">IF(AD2642="","",(1-$W$2)*(AD2642/1.2))</f>
        <v>941.66666666666674</v>
      </c>
      <c r="G2642" s="64">
        <f t="shared" ref="G2642:G2651" si="422">IF($W$5=0.2,F2642*1.2,F2642)/$W$4</f>
        <v>1130</v>
      </c>
      <c r="H2642" s="15">
        <f t="shared" ref="H2642:H2651" si="423">IF(AE2642="","",(1-$W$2)*(AE2642/1.2))</f>
        <v>991.66666666666674</v>
      </c>
      <c r="I2642" s="64">
        <f t="shared" ref="I2642:I2651" si="424">IF($W$5=0.2,H2642*1.2,H2642)/$W$4</f>
        <v>1190</v>
      </c>
      <c r="J2642" s="15">
        <f t="shared" ref="J2642:J2651" si="425">IF(AF2642="","",(1-$W$2)*(AF2642/1.2))</f>
        <v>1050</v>
      </c>
      <c r="K2642" s="64">
        <f t="shared" ref="K2642:K2651" si="426">IF($W$5=0.2,J2642*1.2,J2642)/$W$4</f>
        <v>1260</v>
      </c>
      <c r="L2642" s="15">
        <f t="shared" ref="L2642:L2651" si="427">IF(AG2642="","",(1-$W$2)*(AG2642/1.2))</f>
        <v>1125</v>
      </c>
      <c r="M2642" s="64">
        <f t="shared" ref="M2642:M2651" si="428">IF($W$5=0.2,L2642*1.2,L2642)/$W$4</f>
        <v>1350</v>
      </c>
      <c r="N2642" s="104"/>
      <c r="O2642" s="105"/>
      <c r="P2642" s="28"/>
      <c r="Q2642" s="104"/>
      <c r="R2642" s="104"/>
      <c r="S2642" s="105"/>
      <c r="T2642" s="104"/>
      <c r="U2642" s="105"/>
      <c r="V2642" s="104"/>
      <c r="W2642" s="105"/>
      <c r="X2642" s="104"/>
      <c r="Y2642" s="104"/>
      <c r="Z2642" s="104"/>
      <c r="AA2642" s="104"/>
      <c r="AB2642" s="104"/>
      <c r="AC2642" s="331">
        <v>980</v>
      </c>
      <c r="AD2642" s="331">
        <v>1130</v>
      </c>
      <c r="AE2642" s="331">
        <v>1190</v>
      </c>
      <c r="AF2642" s="331">
        <v>1260</v>
      </c>
      <c r="AG2642" s="331">
        <v>1350</v>
      </c>
      <c r="AH2642" s="288">
        <v>980</v>
      </c>
      <c r="AI2642" s="288">
        <f>AH2642/AC2642-1</f>
        <v>0</v>
      </c>
      <c r="AJ2642" s="288">
        <v>1130</v>
      </c>
      <c r="AK2642" s="288">
        <f>AJ2642/AD2642-1</f>
        <v>0</v>
      </c>
      <c r="AL2642" s="288">
        <v>1190</v>
      </c>
      <c r="AM2642" s="1">
        <f>AL2642/AE2642-1</f>
        <v>0</v>
      </c>
      <c r="AN2642" s="30">
        <v>1260</v>
      </c>
      <c r="AO2642" s="1">
        <f>AN2642/AF2642-1</f>
        <v>0</v>
      </c>
      <c r="AP2642" s="1">
        <v>1350</v>
      </c>
      <c r="AQ2642" s="1">
        <f>AP2642/AG2642-1</f>
        <v>0</v>
      </c>
      <c r="AR2642" s="332"/>
      <c r="AS2642" s="332"/>
    </row>
    <row r="2643" spans="1:46">
      <c r="A2643" s="8"/>
      <c r="B2643" s="16" t="str">
        <f>IF($C$1="ENG","B (95 - 115 mm)","B (95 - 115 мм)")</f>
        <v>B (95 - 115 мм)</v>
      </c>
      <c r="C2643" s="430"/>
      <c r="D2643" s="18">
        <f t="shared" si="419"/>
        <v>883.33333333333337</v>
      </c>
      <c r="E2643" s="66">
        <f t="shared" si="420"/>
        <v>1060</v>
      </c>
      <c r="F2643" s="18">
        <f t="shared" si="421"/>
        <v>1016.6666666666667</v>
      </c>
      <c r="G2643" s="66">
        <f t="shared" si="422"/>
        <v>1220</v>
      </c>
      <c r="H2643" s="18">
        <f t="shared" si="423"/>
        <v>1091.6666666666667</v>
      </c>
      <c r="I2643" s="66">
        <f t="shared" si="424"/>
        <v>1310</v>
      </c>
      <c r="J2643" s="18">
        <f t="shared" si="425"/>
        <v>1141.6666666666667</v>
      </c>
      <c r="K2643" s="66">
        <f t="shared" si="426"/>
        <v>1370</v>
      </c>
      <c r="L2643" s="18">
        <f t="shared" si="427"/>
        <v>1233.3333333333335</v>
      </c>
      <c r="M2643" s="66">
        <f t="shared" si="428"/>
        <v>1480.0000000000002</v>
      </c>
      <c r="N2643" s="104"/>
      <c r="O2643" s="105"/>
      <c r="P2643" s="28"/>
      <c r="Q2643" s="104"/>
      <c r="R2643" s="104"/>
      <c r="S2643" s="105"/>
      <c r="T2643" s="104"/>
      <c r="U2643" s="105"/>
      <c r="V2643" s="104"/>
      <c r="W2643" s="105"/>
      <c r="X2643" s="104"/>
      <c r="Y2643" s="104"/>
      <c r="Z2643" s="104"/>
      <c r="AA2643" s="104"/>
      <c r="AB2643" s="104"/>
      <c r="AC2643" s="331">
        <v>1060</v>
      </c>
      <c r="AD2643" s="331">
        <v>1220</v>
      </c>
      <c r="AE2643" s="331">
        <v>1310</v>
      </c>
      <c r="AF2643" s="331">
        <v>1370</v>
      </c>
      <c r="AG2643" s="331">
        <v>1480</v>
      </c>
      <c r="AH2643" s="288">
        <v>1060</v>
      </c>
      <c r="AI2643" s="288">
        <f t="shared" ref="AI2643:AI2651" si="429">AH2643/AC2643-1</f>
        <v>0</v>
      </c>
      <c r="AJ2643" s="288">
        <v>1220</v>
      </c>
      <c r="AK2643" s="288">
        <f t="shared" ref="AK2643:AK2651" si="430">AJ2643/AD2643-1</f>
        <v>0</v>
      </c>
      <c r="AL2643" s="288">
        <v>1310</v>
      </c>
      <c r="AM2643" s="1">
        <f t="shared" ref="AM2643:AM2651" si="431">AL2643/AE2643-1</f>
        <v>0</v>
      </c>
      <c r="AN2643" s="30">
        <v>1370</v>
      </c>
      <c r="AO2643" s="1">
        <f t="shared" ref="AO2643:AO2651" si="432">AN2643/AF2643-1</f>
        <v>0</v>
      </c>
      <c r="AP2643" s="1">
        <v>1480</v>
      </c>
      <c r="AQ2643" s="1">
        <f t="shared" ref="AQ2643:AQ2651" si="433">AP2643/AG2643-1</f>
        <v>0</v>
      </c>
      <c r="AR2643" s="332"/>
    </row>
    <row r="2644" spans="1:46">
      <c r="A2644" s="8"/>
      <c r="B2644" s="16" t="str">
        <f>IF($C$1="ENG","B+ 100 - 120 mm)","B+ (100 - 120 мм)")</f>
        <v>B+ (100 - 120 мм)</v>
      </c>
      <c r="C2644" s="430"/>
      <c r="D2644" s="18">
        <f t="shared" si="419"/>
        <v>916.66666666666674</v>
      </c>
      <c r="E2644" s="66">
        <f t="shared" si="420"/>
        <v>1100</v>
      </c>
      <c r="F2644" s="18">
        <f t="shared" si="421"/>
        <v>1058.3333333333335</v>
      </c>
      <c r="G2644" s="66">
        <f t="shared" si="422"/>
        <v>1270.0000000000002</v>
      </c>
      <c r="H2644" s="18">
        <f t="shared" si="423"/>
        <v>1133.3333333333335</v>
      </c>
      <c r="I2644" s="66">
        <f t="shared" si="424"/>
        <v>1360.0000000000002</v>
      </c>
      <c r="J2644" s="18">
        <f t="shared" si="425"/>
        <v>1191.6666666666667</v>
      </c>
      <c r="K2644" s="66">
        <f t="shared" si="426"/>
        <v>1430</v>
      </c>
      <c r="L2644" s="18">
        <f t="shared" si="427"/>
        <v>1291.6666666666667</v>
      </c>
      <c r="M2644" s="66">
        <f t="shared" si="428"/>
        <v>1550</v>
      </c>
      <c r="N2644" s="104"/>
      <c r="O2644" s="105"/>
      <c r="P2644" s="28"/>
      <c r="Q2644" s="104"/>
      <c r="R2644" s="104"/>
      <c r="S2644" s="105"/>
      <c r="T2644" s="104"/>
      <c r="U2644" s="105"/>
      <c r="V2644" s="104"/>
      <c r="W2644" s="105"/>
      <c r="X2644" s="104"/>
      <c r="Y2644" s="104"/>
      <c r="Z2644" s="104"/>
      <c r="AA2644" s="104"/>
      <c r="AB2644" s="104"/>
      <c r="AC2644" s="331">
        <v>1100</v>
      </c>
      <c r="AD2644" s="331">
        <v>1270</v>
      </c>
      <c r="AE2644" s="331">
        <v>1360</v>
      </c>
      <c r="AF2644" s="331">
        <v>1430</v>
      </c>
      <c r="AG2644" s="331">
        <v>1550</v>
      </c>
      <c r="AH2644" s="288">
        <v>1100</v>
      </c>
      <c r="AI2644" s="288">
        <f t="shared" si="429"/>
        <v>0</v>
      </c>
      <c r="AJ2644" s="288">
        <v>1270</v>
      </c>
      <c r="AK2644" s="288">
        <f t="shared" si="430"/>
        <v>0</v>
      </c>
      <c r="AL2644" s="288">
        <v>1360</v>
      </c>
      <c r="AM2644" s="1">
        <f t="shared" si="431"/>
        <v>0</v>
      </c>
      <c r="AN2644" s="30">
        <v>1430</v>
      </c>
      <c r="AO2644" s="1">
        <f t="shared" si="432"/>
        <v>0</v>
      </c>
      <c r="AP2644" s="1">
        <v>1550</v>
      </c>
      <c r="AQ2644" s="1">
        <f t="shared" si="433"/>
        <v>0</v>
      </c>
      <c r="AR2644" s="332"/>
    </row>
    <row r="2645" spans="1:46">
      <c r="A2645" s="8"/>
      <c r="B2645" s="16" t="str">
        <f>IF($C$1="ENG","C (120 - 140 mm)","C (120 - 140 мм)")</f>
        <v>C (120 - 140 мм)</v>
      </c>
      <c r="C2645" s="430"/>
      <c r="D2645" s="18">
        <f t="shared" si="419"/>
        <v>958.33333333333337</v>
      </c>
      <c r="E2645" s="66">
        <f t="shared" si="420"/>
        <v>1150</v>
      </c>
      <c r="F2645" s="18">
        <f t="shared" si="421"/>
        <v>1100</v>
      </c>
      <c r="G2645" s="66">
        <f t="shared" si="422"/>
        <v>1320</v>
      </c>
      <c r="H2645" s="18">
        <f t="shared" si="423"/>
        <v>1175</v>
      </c>
      <c r="I2645" s="66">
        <f t="shared" si="424"/>
        <v>1410</v>
      </c>
      <c r="J2645" s="18">
        <f t="shared" si="425"/>
        <v>1241.6666666666667</v>
      </c>
      <c r="K2645" s="66">
        <f t="shared" si="426"/>
        <v>1490</v>
      </c>
      <c r="L2645" s="18">
        <f t="shared" si="427"/>
        <v>1325</v>
      </c>
      <c r="M2645" s="66">
        <f t="shared" si="428"/>
        <v>1590</v>
      </c>
      <c r="N2645" s="104"/>
      <c r="O2645" s="105"/>
      <c r="P2645" s="28"/>
      <c r="Q2645" s="104"/>
      <c r="R2645" s="104"/>
      <c r="S2645" s="105"/>
      <c r="T2645" s="104"/>
      <c r="U2645" s="105"/>
      <c r="V2645" s="104"/>
      <c r="W2645" s="105"/>
      <c r="X2645" s="104"/>
      <c r="Y2645" s="104"/>
      <c r="Z2645" s="104"/>
      <c r="AA2645" s="104"/>
      <c r="AB2645" s="104"/>
      <c r="AC2645" s="331">
        <v>1150</v>
      </c>
      <c r="AD2645" s="331">
        <v>1320</v>
      </c>
      <c r="AE2645" s="331">
        <v>1410</v>
      </c>
      <c r="AF2645" s="331">
        <v>1490</v>
      </c>
      <c r="AG2645" s="331">
        <v>1590</v>
      </c>
      <c r="AH2645" s="288">
        <v>1150</v>
      </c>
      <c r="AI2645" s="288">
        <f t="shared" si="429"/>
        <v>0</v>
      </c>
      <c r="AJ2645" s="288">
        <v>1320</v>
      </c>
      <c r="AK2645" s="288">
        <f t="shared" si="430"/>
        <v>0</v>
      </c>
      <c r="AL2645" s="288">
        <v>1410</v>
      </c>
      <c r="AM2645" s="1">
        <f t="shared" si="431"/>
        <v>0</v>
      </c>
      <c r="AN2645" s="30">
        <v>1490</v>
      </c>
      <c r="AO2645" s="1">
        <f t="shared" si="432"/>
        <v>0</v>
      </c>
      <c r="AP2645" s="1">
        <v>1590</v>
      </c>
      <c r="AQ2645" s="1">
        <f t="shared" si="433"/>
        <v>0</v>
      </c>
      <c r="AR2645" s="332"/>
    </row>
    <row r="2646" spans="1:46">
      <c r="A2646" s="8"/>
      <c r="B2646" s="16" t="str">
        <f>IF($C$1="ENG","D (140 - 160 mm)","D (140 - 160 мм)")</f>
        <v>D (140 - 160 мм)</v>
      </c>
      <c r="C2646" s="430"/>
      <c r="D2646" s="18">
        <f t="shared" si="419"/>
        <v>1025</v>
      </c>
      <c r="E2646" s="66">
        <f t="shared" si="420"/>
        <v>1230</v>
      </c>
      <c r="F2646" s="18">
        <f t="shared" si="421"/>
        <v>1175</v>
      </c>
      <c r="G2646" s="66">
        <f t="shared" si="422"/>
        <v>1410</v>
      </c>
      <c r="H2646" s="18">
        <f t="shared" si="423"/>
        <v>1275</v>
      </c>
      <c r="I2646" s="66">
        <f t="shared" si="424"/>
        <v>1530</v>
      </c>
      <c r="J2646" s="18">
        <f t="shared" si="425"/>
        <v>1341.6666666666667</v>
      </c>
      <c r="K2646" s="66">
        <f t="shared" si="426"/>
        <v>1610</v>
      </c>
      <c r="L2646" s="18">
        <f t="shared" si="427"/>
        <v>1441.6666666666667</v>
      </c>
      <c r="M2646" s="66">
        <f t="shared" si="428"/>
        <v>1730</v>
      </c>
      <c r="N2646" s="104"/>
      <c r="O2646" s="105"/>
      <c r="P2646" s="28"/>
      <c r="Q2646" s="104"/>
      <c r="R2646" s="104"/>
      <c r="S2646" s="105"/>
      <c r="T2646" s="104"/>
      <c r="U2646" s="105"/>
      <c r="V2646" s="104"/>
      <c r="W2646" s="105"/>
      <c r="X2646" s="104"/>
      <c r="Y2646" s="104"/>
      <c r="Z2646" s="104"/>
      <c r="AA2646" s="104"/>
      <c r="AB2646" s="104"/>
      <c r="AC2646" s="331">
        <v>1230</v>
      </c>
      <c r="AD2646" s="331">
        <v>1410</v>
      </c>
      <c r="AE2646" s="331">
        <v>1530</v>
      </c>
      <c r="AF2646" s="331">
        <v>1610</v>
      </c>
      <c r="AG2646" s="331">
        <v>1730</v>
      </c>
      <c r="AH2646" s="288">
        <v>1230</v>
      </c>
      <c r="AI2646" s="288">
        <f t="shared" si="429"/>
        <v>0</v>
      </c>
      <c r="AJ2646" s="288">
        <v>1410</v>
      </c>
      <c r="AK2646" s="288">
        <f t="shared" si="430"/>
        <v>0</v>
      </c>
      <c r="AL2646" s="288">
        <v>1530</v>
      </c>
      <c r="AM2646" s="1">
        <f t="shared" si="431"/>
        <v>0</v>
      </c>
      <c r="AN2646" s="30">
        <v>1610</v>
      </c>
      <c r="AO2646" s="1">
        <f t="shared" si="432"/>
        <v>0</v>
      </c>
      <c r="AP2646" s="1">
        <v>1730</v>
      </c>
      <c r="AQ2646" s="1">
        <f t="shared" si="433"/>
        <v>0</v>
      </c>
      <c r="AR2646" s="332"/>
    </row>
    <row r="2647" spans="1:46">
      <c r="A2647" s="8"/>
      <c r="B2647" s="16" t="str">
        <f>IF($C$1="ENG","E (160 - 180 mm)","E (160 - 180 мм)")</f>
        <v>E (160 - 180 мм)</v>
      </c>
      <c r="C2647" s="430"/>
      <c r="D2647" s="18">
        <f t="shared" si="419"/>
        <v>1100</v>
      </c>
      <c r="E2647" s="66">
        <f t="shared" si="420"/>
        <v>1320</v>
      </c>
      <c r="F2647" s="18">
        <f t="shared" si="421"/>
        <v>1275</v>
      </c>
      <c r="G2647" s="66">
        <f t="shared" si="422"/>
        <v>1530</v>
      </c>
      <c r="H2647" s="18">
        <f t="shared" si="423"/>
        <v>1375</v>
      </c>
      <c r="I2647" s="66">
        <f t="shared" si="424"/>
        <v>1650</v>
      </c>
      <c r="J2647" s="18">
        <f t="shared" si="425"/>
        <v>1433.3333333333335</v>
      </c>
      <c r="K2647" s="66">
        <f t="shared" si="426"/>
        <v>1720.0000000000002</v>
      </c>
      <c r="L2647" s="18">
        <f t="shared" si="427"/>
        <v>1541.6666666666667</v>
      </c>
      <c r="M2647" s="66">
        <f t="shared" si="428"/>
        <v>1850</v>
      </c>
      <c r="N2647" s="104"/>
      <c r="O2647" s="105"/>
      <c r="P2647" s="28"/>
      <c r="Q2647" s="104"/>
      <c r="R2647" s="104"/>
      <c r="S2647" s="105"/>
      <c r="T2647" s="104"/>
      <c r="U2647" s="105"/>
      <c r="V2647" s="104"/>
      <c r="W2647" s="105"/>
      <c r="X2647" s="104"/>
      <c r="Y2647" s="104"/>
      <c r="Z2647" s="104"/>
      <c r="AA2647" s="104"/>
      <c r="AB2647" s="104"/>
      <c r="AC2647" s="331">
        <v>1320</v>
      </c>
      <c r="AD2647" s="331">
        <v>1530</v>
      </c>
      <c r="AE2647" s="331">
        <v>1650</v>
      </c>
      <c r="AF2647" s="331">
        <v>1720</v>
      </c>
      <c r="AG2647" s="331">
        <v>1850</v>
      </c>
      <c r="AH2647" s="288">
        <v>1322</v>
      </c>
      <c r="AI2647" s="288">
        <f t="shared" si="429"/>
        <v>1.5151515151514694E-3</v>
      </c>
      <c r="AJ2647" s="288">
        <v>1530</v>
      </c>
      <c r="AK2647" s="288">
        <f t="shared" si="430"/>
        <v>0</v>
      </c>
      <c r="AL2647" s="288">
        <v>1650</v>
      </c>
      <c r="AM2647" s="1">
        <f t="shared" si="431"/>
        <v>0</v>
      </c>
      <c r="AN2647" s="30">
        <v>1720</v>
      </c>
      <c r="AO2647" s="1">
        <f t="shared" si="432"/>
        <v>0</v>
      </c>
      <c r="AP2647" s="1">
        <v>1850</v>
      </c>
      <c r="AQ2647" s="1">
        <f t="shared" si="433"/>
        <v>0</v>
      </c>
      <c r="AR2647" s="332"/>
    </row>
    <row r="2648" spans="1:46">
      <c r="A2648" s="8"/>
      <c r="B2648" s="16" t="str">
        <f>IF($C$1="ENG","F (180 - 200 mm)","F (180 - 200 мм)")</f>
        <v>F (180 - 200 мм)</v>
      </c>
      <c r="C2648" s="430"/>
      <c r="D2648" s="18">
        <f t="shared" si="419"/>
        <v>1166.6666666666667</v>
      </c>
      <c r="E2648" s="66">
        <f t="shared" si="420"/>
        <v>1400</v>
      </c>
      <c r="F2648" s="18">
        <f t="shared" si="421"/>
        <v>1358.3333333333335</v>
      </c>
      <c r="G2648" s="66">
        <f t="shared" si="422"/>
        <v>1630.0000000000002</v>
      </c>
      <c r="H2648" s="18">
        <f t="shared" si="423"/>
        <v>1458.3333333333335</v>
      </c>
      <c r="I2648" s="66">
        <f t="shared" si="424"/>
        <v>1750.0000000000002</v>
      </c>
      <c r="J2648" s="18">
        <f t="shared" si="425"/>
        <v>1525</v>
      </c>
      <c r="K2648" s="66">
        <f t="shared" si="426"/>
        <v>1830</v>
      </c>
      <c r="L2648" s="18">
        <f t="shared" si="427"/>
        <v>1650</v>
      </c>
      <c r="M2648" s="66">
        <f t="shared" si="428"/>
        <v>1980</v>
      </c>
      <c r="N2648" s="104"/>
      <c r="O2648" s="105"/>
      <c r="P2648" s="28"/>
      <c r="Q2648" s="104"/>
      <c r="R2648" s="104"/>
      <c r="S2648" s="105"/>
      <c r="T2648" s="104"/>
      <c r="U2648" s="105"/>
      <c r="V2648" s="104"/>
      <c r="W2648" s="105"/>
      <c r="X2648" s="104"/>
      <c r="Y2648" s="104"/>
      <c r="Z2648" s="104"/>
      <c r="AA2648" s="104"/>
      <c r="AB2648" s="104"/>
      <c r="AC2648" s="331">
        <v>1400</v>
      </c>
      <c r="AD2648" s="331">
        <v>1630</v>
      </c>
      <c r="AE2648" s="331">
        <v>1750</v>
      </c>
      <c r="AF2648" s="331">
        <v>1830</v>
      </c>
      <c r="AG2648" s="331">
        <v>1980</v>
      </c>
      <c r="AH2648" s="288">
        <v>1400</v>
      </c>
      <c r="AI2648" s="288">
        <f t="shared" si="429"/>
        <v>0</v>
      </c>
      <c r="AJ2648" s="288">
        <v>1630</v>
      </c>
      <c r="AK2648" s="288">
        <f t="shared" si="430"/>
        <v>0</v>
      </c>
      <c r="AL2648" s="288">
        <v>1750</v>
      </c>
      <c r="AM2648" s="1">
        <f t="shared" si="431"/>
        <v>0</v>
      </c>
      <c r="AN2648" s="30">
        <v>1830</v>
      </c>
      <c r="AO2648" s="1">
        <f t="shared" si="432"/>
        <v>0</v>
      </c>
      <c r="AP2648" s="1">
        <v>1980</v>
      </c>
      <c r="AQ2648" s="1">
        <f t="shared" si="433"/>
        <v>0</v>
      </c>
      <c r="AR2648" s="332"/>
    </row>
    <row r="2649" spans="1:46">
      <c r="A2649" s="8"/>
      <c r="B2649" s="16" t="str">
        <f>IF($C$1="ENG","G (200 - 220 mm)","G (200 - 220 мм)")</f>
        <v>G (200 - 220 мм)</v>
      </c>
      <c r="C2649" s="430"/>
      <c r="D2649" s="18">
        <f t="shared" si="419"/>
        <v>1241.6666666666667</v>
      </c>
      <c r="E2649" s="66">
        <f t="shared" si="420"/>
        <v>1490</v>
      </c>
      <c r="F2649" s="18">
        <f t="shared" si="421"/>
        <v>1433.3333333333335</v>
      </c>
      <c r="G2649" s="66">
        <f t="shared" si="422"/>
        <v>1720.0000000000002</v>
      </c>
      <c r="H2649" s="18">
        <f t="shared" si="423"/>
        <v>1566.6666666666667</v>
      </c>
      <c r="I2649" s="66">
        <f t="shared" si="424"/>
        <v>1880</v>
      </c>
      <c r="J2649" s="18">
        <f t="shared" si="425"/>
        <v>1616.6666666666667</v>
      </c>
      <c r="K2649" s="66">
        <f t="shared" si="426"/>
        <v>1940</v>
      </c>
      <c r="L2649" s="18">
        <f t="shared" si="427"/>
        <v>1750</v>
      </c>
      <c r="M2649" s="66">
        <f t="shared" si="428"/>
        <v>2100</v>
      </c>
      <c r="N2649" s="104"/>
      <c r="O2649" s="105"/>
      <c r="P2649" s="28"/>
      <c r="Q2649" s="104"/>
      <c r="R2649" s="104"/>
      <c r="S2649" s="105"/>
      <c r="T2649" s="104"/>
      <c r="U2649" s="105"/>
      <c r="V2649" s="104"/>
      <c r="W2649" s="105"/>
      <c r="X2649" s="104"/>
      <c r="Y2649" s="104"/>
      <c r="Z2649" s="104"/>
      <c r="AA2649" s="104"/>
      <c r="AB2649" s="104"/>
      <c r="AC2649" s="331">
        <v>1490</v>
      </c>
      <c r="AD2649" s="331">
        <v>1720</v>
      </c>
      <c r="AE2649" s="331">
        <v>1880</v>
      </c>
      <c r="AF2649" s="331">
        <v>1940</v>
      </c>
      <c r="AG2649" s="331">
        <v>2100</v>
      </c>
      <c r="AH2649" s="288">
        <v>1490</v>
      </c>
      <c r="AI2649" s="288">
        <f t="shared" si="429"/>
        <v>0</v>
      </c>
      <c r="AJ2649" s="288">
        <v>1720</v>
      </c>
      <c r="AK2649" s="288">
        <f t="shared" si="430"/>
        <v>0</v>
      </c>
      <c r="AL2649" s="288">
        <v>1880</v>
      </c>
      <c r="AM2649" s="1">
        <f t="shared" si="431"/>
        <v>0</v>
      </c>
      <c r="AN2649" s="30">
        <v>1940</v>
      </c>
      <c r="AO2649" s="1">
        <f t="shared" si="432"/>
        <v>0</v>
      </c>
      <c r="AP2649" s="1">
        <v>2100</v>
      </c>
      <c r="AQ2649" s="1">
        <f t="shared" si="433"/>
        <v>0</v>
      </c>
      <c r="AR2649" s="332"/>
    </row>
    <row r="2650" spans="1:46">
      <c r="A2650" s="8"/>
      <c r="B2650" s="16" t="str">
        <f>IF($C$1="ENG","H (220 - 240 mm)","H (220 - 240 мм)")</f>
        <v>H (220 - 240 мм)</v>
      </c>
      <c r="C2650" s="430"/>
      <c r="D2650" s="18">
        <f t="shared" si="419"/>
        <v>1308.3333333333335</v>
      </c>
      <c r="E2650" s="66">
        <f t="shared" si="420"/>
        <v>1570.0000000000002</v>
      </c>
      <c r="F2650" s="18">
        <f t="shared" si="421"/>
        <v>1508.3333333333335</v>
      </c>
      <c r="G2650" s="66">
        <f t="shared" si="422"/>
        <v>1810.0000000000002</v>
      </c>
      <c r="H2650" s="18">
        <f t="shared" si="423"/>
        <v>1650</v>
      </c>
      <c r="I2650" s="66">
        <f t="shared" si="424"/>
        <v>1980</v>
      </c>
      <c r="J2650" s="18">
        <f t="shared" si="425"/>
        <v>1716.6666666666667</v>
      </c>
      <c r="K2650" s="66">
        <f t="shared" si="426"/>
        <v>2060</v>
      </c>
      <c r="L2650" s="18">
        <f t="shared" si="427"/>
        <v>1866.6666666666667</v>
      </c>
      <c r="M2650" s="66">
        <f t="shared" si="428"/>
        <v>2240</v>
      </c>
      <c r="N2650" s="104"/>
      <c r="O2650" s="105"/>
      <c r="P2650" s="28"/>
      <c r="Q2650" s="104"/>
      <c r="R2650" s="104"/>
      <c r="S2650" s="105"/>
      <c r="T2650" s="104"/>
      <c r="U2650" s="105"/>
      <c r="V2650" s="104"/>
      <c r="W2650" s="105"/>
      <c r="X2650" s="104"/>
      <c r="Y2650" s="104"/>
      <c r="Z2650" s="104"/>
      <c r="AA2650" s="104"/>
      <c r="AB2650" s="104"/>
      <c r="AC2650" s="331">
        <v>1570</v>
      </c>
      <c r="AD2650" s="331">
        <v>1810</v>
      </c>
      <c r="AE2650" s="331">
        <v>1980</v>
      </c>
      <c r="AF2650" s="331">
        <v>2060</v>
      </c>
      <c r="AG2650" s="331">
        <v>2240</v>
      </c>
      <c r="AH2650" s="288">
        <v>1570</v>
      </c>
      <c r="AI2650" s="288">
        <f t="shared" si="429"/>
        <v>0</v>
      </c>
      <c r="AJ2650" s="288">
        <v>1810</v>
      </c>
      <c r="AK2650" s="288">
        <f t="shared" si="430"/>
        <v>0</v>
      </c>
      <c r="AL2650" s="288">
        <v>1980</v>
      </c>
      <c r="AM2650" s="1">
        <f t="shared" si="431"/>
        <v>0</v>
      </c>
      <c r="AN2650" s="30">
        <v>2060</v>
      </c>
      <c r="AO2650" s="1">
        <f t="shared" si="432"/>
        <v>0</v>
      </c>
      <c r="AP2650" s="1">
        <v>2240</v>
      </c>
      <c r="AQ2650" s="1">
        <f t="shared" si="433"/>
        <v>0</v>
      </c>
      <c r="AR2650" s="332"/>
    </row>
    <row r="2651" spans="1:46">
      <c r="A2651" s="8"/>
      <c r="B2651" s="23" t="str">
        <f>IF($C$1="ENG","I (240 - 260 mm)","I (240 - 260 мм)")</f>
        <v>I (240 - 260 мм)</v>
      </c>
      <c r="C2651" s="431"/>
      <c r="D2651" s="25">
        <f t="shared" si="419"/>
        <v>1383.3333333333335</v>
      </c>
      <c r="E2651" s="69">
        <f t="shared" si="420"/>
        <v>1660.0000000000002</v>
      </c>
      <c r="F2651" s="25">
        <f t="shared" si="421"/>
        <v>1591.6666666666667</v>
      </c>
      <c r="G2651" s="69">
        <f t="shared" si="422"/>
        <v>1910</v>
      </c>
      <c r="H2651" s="25">
        <f t="shared" si="423"/>
        <v>1741.6666666666667</v>
      </c>
      <c r="I2651" s="69">
        <f t="shared" si="424"/>
        <v>2090</v>
      </c>
      <c r="J2651" s="25">
        <f t="shared" si="425"/>
        <v>1808.3333333333335</v>
      </c>
      <c r="K2651" s="69">
        <f t="shared" si="426"/>
        <v>2170</v>
      </c>
      <c r="L2651" s="25">
        <f t="shared" si="427"/>
        <v>1967.5</v>
      </c>
      <c r="M2651" s="69">
        <f t="shared" si="428"/>
        <v>2361</v>
      </c>
      <c r="N2651" s="104"/>
      <c r="O2651" s="105"/>
      <c r="P2651" s="28"/>
      <c r="Q2651" s="104"/>
      <c r="R2651" s="104"/>
      <c r="S2651" s="105"/>
      <c r="T2651" s="104"/>
      <c r="U2651" s="105"/>
      <c r="V2651" s="104"/>
      <c r="W2651" s="105"/>
      <c r="X2651" s="104"/>
      <c r="Y2651" s="104"/>
      <c r="Z2651" s="104"/>
      <c r="AA2651" s="104"/>
      <c r="AB2651" s="104"/>
      <c r="AC2651" s="331">
        <v>1660</v>
      </c>
      <c r="AD2651" s="331">
        <v>1910</v>
      </c>
      <c r="AE2651" s="331">
        <v>2090</v>
      </c>
      <c r="AF2651" s="331">
        <v>2170</v>
      </c>
      <c r="AG2651" s="331">
        <v>2361</v>
      </c>
      <c r="AH2651" s="288">
        <v>1660</v>
      </c>
      <c r="AI2651" s="288">
        <f t="shared" si="429"/>
        <v>0</v>
      </c>
      <c r="AJ2651" s="288">
        <v>1910</v>
      </c>
      <c r="AK2651" s="288">
        <f t="shared" si="430"/>
        <v>0</v>
      </c>
      <c r="AL2651" s="288">
        <v>2090</v>
      </c>
      <c r="AM2651" s="1">
        <f t="shared" si="431"/>
        <v>0</v>
      </c>
      <c r="AN2651" s="30">
        <v>2170</v>
      </c>
      <c r="AO2651" s="1">
        <f t="shared" si="432"/>
        <v>0</v>
      </c>
      <c r="AP2651" s="1">
        <v>2361</v>
      </c>
      <c r="AQ2651" s="1">
        <f t="shared" si="433"/>
        <v>0</v>
      </c>
      <c r="AR2651" s="332"/>
    </row>
    <row r="2652" spans="1:46">
      <c r="C2652" s="244"/>
      <c r="D2652" s="26"/>
      <c r="E2652" s="57"/>
      <c r="F2652" s="26"/>
      <c r="G2652" s="57"/>
      <c r="H2652" s="60"/>
      <c r="I2652" s="48"/>
      <c r="J2652" s="48"/>
      <c r="K2652" s="48"/>
      <c r="L2652" s="48"/>
      <c r="M2652" s="48"/>
      <c r="N2652" s="48"/>
      <c r="O2652" s="48"/>
      <c r="P2652" s="48"/>
      <c r="Q2652" s="48"/>
      <c r="R2652" s="48"/>
      <c r="S2652" s="48"/>
    </row>
    <row r="2653" spans="1:46">
      <c r="B2653" s="211" t="str">
        <f>IF($C$1="ENG","For additonal charge:","Послуги за додаткову плату:")</f>
        <v>Послуги за додаткову плату:</v>
      </c>
      <c r="C2653" s="419"/>
      <c r="D2653" s="212"/>
      <c r="E2653" s="213"/>
      <c r="F2653" s="26"/>
      <c r="G2653" s="57"/>
      <c r="H2653" s="5"/>
      <c r="J2653" s="48"/>
      <c r="K2653" s="48"/>
      <c r="L2653" s="48"/>
      <c r="M2653" s="48"/>
      <c r="N2653" s="48"/>
      <c r="O2653" s="48"/>
      <c r="P2653" s="48"/>
      <c r="Q2653" s="48"/>
      <c r="R2653" s="48"/>
      <c r="S2653" s="48"/>
    </row>
    <row r="2654" spans="1:46" ht="5.0999999999999996" customHeight="1">
      <c r="B2654" s="27"/>
      <c r="C2654" s="244"/>
      <c r="D2654" s="26"/>
      <c r="E2654" s="57"/>
      <c r="F2654" s="26"/>
      <c r="G2654" s="57"/>
      <c r="H2654" s="5"/>
    </row>
    <row r="2655" spans="1:46">
      <c r="B2655" s="274" t="str">
        <f>IF($C$1="ENG","Glazing types:","Вид скління:")</f>
        <v>Вид скління:</v>
      </c>
      <c r="C2655" s="411" t="str">
        <f>IF($C$1="ENG","MDF","Фільонка")</f>
        <v>Фільонка</v>
      </c>
      <c r="D2655" s="100">
        <f t="shared" ref="D2655:D2659" si="434">IF(AC2655="","",(1-$W$2)*(AC2655/1.2))</f>
        <v>1016.6666666666667</v>
      </c>
      <c r="E2655" s="64">
        <f>IF($W$5=0.2,D2655*1.2,D2655)/$W$4</f>
        <v>1220</v>
      </c>
      <c r="F2655" s="26"/>
      <c r="G2655" s="57"/>
      <c r="H2655" s="252"/>
      <c r="L2655" s="104"/>
      <c r="M2655" s="105"/>
      <c r="N2655" s="104"/>
      <c r="O2655" s="105"/>
      <c r="P2655" s="104"/>
      <c r="Q2655" s="105"/>
      <c r="R2655" s="104"/>
      <c r="S2655" s="105"/>
      <c r="T2655" s="104"/>
      <c r="U2655" s="105"/>
      <c r="V2655" s="104"/>
      <c r="W2655" s="105"/>
      <c r="AC2655" s="288">
        <v>1220</v>
      </c>
      <c r="AD2655" s="288">
        <v>1220</v>
      </c>
      <c r="AE2655" s="288">
        <f>AD2655/AC2655-1</f>
        <v>0</v>
      </c>
      <c r="AF2655" s="288"/>
      <c r="AG2655" s="288"/>
      <c r="AH2655" s="288"/>
      <c r="AI2655" s="288"/>
      <c r="AJ2655" s="288"/>
      <c r="AK2655" s="288"/>
      <c r="AL2655" s="288"/>
    </row>
    <row r="2656" spans="1:46">
      <c r="B2656" s="275"/>
      <c r="C2656" s="410" t="str">
        <f>IF($C$1="ENG","Satin","Сатин")</f>
        <v>Сатин</v>
      </c>
      <c r="D2656" s="101">
        <f t="shared" si="434"/>
        <v>933.33333333333337</v>
      </c>
      <c r="E2656" s="66">
        <f t="shared" ref="E2656:E2660" si="435">IF($W$5=0.2,D2656*1.2,D2656)/$W$4</f>
        <v>1120</v>
      </c>
      <c r="F2656" s="26"/>
      <c r="G2656" s="26"/>
      <c r="H2656" s="252"/>
      <c r="L2656" s="104"/>
      <c r="M2656" s="105"/>
      <c r="P2656" s="104"/>
      <c r="Q2656" s="105"/>
      <c r="AC2656" s="288">
        <v>1120</v>
      </c>
      <c r="AD2656" s="288">
        <v>1120</v>
      </c>
      <c r="AE2656" s="288">
        <f t="shared" ref="AE2656:AE2660" si="436">AD2656/AC2656-1</f>
        <v>0</v>
      </c>
      <c r="AF2656" s="288"/>
      <c r="AG2656" s="288"/>
      <c r="AH2656" s="288"/>
      <c r="AI2656" s="288"/>
      <c r="AJ2656" s="288"/>
      <c r="AK2656" s="288"/>
      <c r="AL2656" s="288"/>
    </row>
    <row r="2657" spans="2:38">
      <c r="B2657" s="272"/>
      <c r="C2657" s="410" t="str">
        <f>IF($C$1="ENG","Graphite","Графіт")</f>
        <v>Графіт</v>
      </c>
      <c r="D2657" s="101">
        <f t="shared" si="434"/>
        <v>1275</v>
      </c>
      <c r="E2657" s="66">
        <f t="shared" si="435"/>
        <v>1530</v>
      </c>
      <c r="F2657" s="26"/>
      <c r="G2657" s="26"/>
      <c r="H2657" s="252"/>
      <c r="L2657" s="104"/>
      <c r="M2657" s="105"/>
      <c r="P2657" s="104"/>
      <c r="Q2657" s="105"/>
      <c r="AC2657" s="288">
        <v>1530</v>
      </c>
      <c r="AD2657" s="288">
        <v>1530</v>
      </c>
      <c r="AE2657" s="288">
        <f t="shared" si="436"/>
        <v>0</v>
      </c>
      <c r="AF2657" s="288"/>
      <c r="AG2657" s="288"/>
      <c r="AH2657" s="288"/>
      <c r="AI2657" s="288"/>
      <c r="AJ2657" s="288"/>
      <c r="AK2657" s="288"/>
      <c r="AL2657" s="288"/>
    </row>
    <row r="2658" spans="2:38">
      <c r="B2658" s="272"/>
      <c r="C2658" s="410" t="str">
        <f>IF($C$1="ENG","Bronze","Бронза")</f>
        <v>Бронза</v>
      </c>
      <c r="D2658" s="101">
        <f t="shared" si="434"/>
        <v>1275</v>
      </c>
      <c r="E2658" s="66">
        <f t="shared" si="435"/>
        <v>1530</v>
      </c>
      <c r="F2658" s="26"/>
      <c r="G2658" s="26"/>
      <c r="H2658" s="252"/>
      <c r="L2658" s="104"/>
      <c r="M2658" s="105"/>
      <c r="P2658" s="104"/>
      <c r="Q2658" s="105"/>
      <c r="AC2658" s="288">
        <v>1530</v>
      </c>
      <c r="AD2658" s="288">
        <v>1530</v>
      </c>
      <c r="AE2658" s="288">
        <f t="shared" si="436"/>
        <v>0</v>
      </c>
      <c r="AF2658" s="288"/>
      <c r="AG2658" s="288"/>
      <c r="AH2658" s="288"/>
      <c r="AI2658" s="288"/>
      <c r="AJ2658" s="288"/>
      <c r="AK2658" s="288"/>
      <c r="AL2658" s="288"/>
    </row>
    <row r="2659" spans="2:38">
      <c r="B2659" s="272"/>
      <c r="C2659" s="410" t="str">
        <f>IF($C$1="ENG","Drawing","Малюнок")</f>
        <v>Малюнок</v>
      </c>
      <c r="D2659" s="101">
        <f t="shared" si="434"/>
        <v>1133.3333333333335</v>
      </c>
      <c r="E2659" s="66">
        <f t="shared" si="435"/>
        <v>1360.0000000000002</v>
      </c>
      <c r="F2659" s="26"/>
      <c r="G2659" s="26"/>
      <c r="H2659" s="252"/>
      <c r="L2659" s="104"/>
      <c r="M2659" s="105"/>
      <c r="P2659" s="104"/>
      <c r="Q2659" s="105"/>
      <c r="AC2659" s="288">
        <v>1360</v>
      </c>
      <c r="AD2659" s="288">
        <v>1360</v>
      </c>
      <c r="AE2659" s="288">
        <f t="shared" si="436"/>
        <v>0</v>
      </c>
      <c r="AF2659" s="288"/>
      <c r="AG2659" s="288"/>
      <c r="AH2659" s="288"/>
      <c r="AI2659" s="288"/>
      <c r="AJ2659" s="288"/>
      <c r="AK2659" s="288"/>
      <c r="AL2659" s="288"/>
    </row>
    <row r="2660" spans="2:38">
      <c r="B2660" s="272"/>
      <c r="C2660" s="410" t="str">
        <f>IF($C$1="ENG","Mirror","Дзеркало")</f>
        <v>Дзеркало</v>
      </c>
      <c r="D2660" s="102">
        <f>IF(AC2660="","",(1-$W$2)*(AC2660/1.2))</f>
        <v>1366.6666666666667</v>
      </c>
      <c r="E2660" s="69">
        <f t="shared" si="435"/>
        <v>1640</v>
      </c>
      <c r="F2660" s="26"/>
      <c r="G2660" s="26"/>
      <c r="H2660" s="252"/>
      <c r="L2660" s="104"/>
      <c r="M2660" s="105"/>
      <c r="P2660" s="104"/>
      <c r="Q2660" s="105"/>
      <c r="AC2660" s="288">
        <v>1640</v>
      </c>
      <c r="AD2660" s="288">
        <v>1640</v>
      </c>
      <c r="AE2660" s="288">
        <f t="shared" si="436"/>
        <v>0</v>
      </c>
      <c r="AF2660" s="288"/>
      <c r="AG2660" s="288"/>
      <c r="AH2660" s="288"/>
      <c r="AI2660" s="288"/>
      <c r="AJ2660" s="288"/>
      <c r="AK2660" s="288"/>
      <c r="AL2660" s="288"/>
    </row>
    <row r="2661" spans="2:38" ht="14.25" customHeight="1">
      <c r="T2661" s="571" t="str">
        <f>IF($C$1="ENG",CONCATENATE("down to: ",B2711),CONCATENATE("вниз до: ",B2711))</f>
        <v>вниз до: Дверні Ручки</v>
      </c>
      <c r="U2661" s="571"/>
      <c r="V2661" s="571"/>
      <c r="W2661" s="571"/>
      <c r="AD2661" s="288" t="e">
        <f t="shared" ref="AD2661:AD2662" si="437">T2661/100*13+T2661</f>
        <v>#VALUE!</v>
      </c>
      <c r="AE2661" s="288" t="e">
        <f t="shared" ref="AE2661:AE2662" si="438">AD2661/T2661-1</f>
        <v>#VALUE!</v>
      </c>
    </row>
    <row r="2662" spans="2:38" ht="14.25" customHeight="1">
      <c r="C2662" s="244"/>
      <c r="D2662" s="26"/>
      <c r="E2662" s="57"/>
      <c r="F2662" s="26"/>
      <c r="G2662" s="26"/>
      <c r="H2662" s="5"/>
      <c r="AD2662" s="288">
        <f t="shared" si="437"/>
        <v>0</v>
      </c>
      <c r="AE2662" s="288" t="e">
        <f t="shared" si="438"/>
        <v>#DIV/0!</v>
      </c>
    </row>
    <row r="2663" spans="2:38" ht="14.25" customHeight="1">
      <c r="C2663" s="244"/>
      <c r="D2663" s="26"/>
      <c r="E2663" s="26"/>
      <c r="F2663" s="26"/>
      <c r="G2663" s="26"/>
      <c r="H2663" s="5"/>
    </row>
    <row r="2664" spans="2:38" ht="14.25" customHeight="1">
      <c r="C2664" s="244"/>
      <c r="D2664" s="26"/>
      <c r="E2664" s="26"/>
      <c r="F2664" s="26"/>
      <c r="G2664" s="26"/>
      <c r="H2664" s="5"/>
    </row>
    <row r="2665" spans="2:38" ht="14.25" customHeight="1">
      <c r="C2665" s="244"/>
      <c r="D2665" s="26"/>
      <c r="E2665" s="26"/>
      <c r="F2665" s="26"/>
      <c r="G2665" s="26"/>
      <c r="H2665" s="5"/>
    </row>
    <row r="2666" spans="2:38" ht="14.25" customHeight="1">
      <c r="C2666" s="244"/>
      <c r="D2666" s="26"/>
      <c r="E2666" s="26"/>
      <c r="F2666" s="26"/>
      <c r="G2666" s="26"/>
      <c r="H2666" s="5"/>
    </row>
    <row r="2667" spans="2:38" ht="14.25" customHeight="1">
      <c r="C2667" s="244"/>
      <c r="D2667" s="26"/>
      <c r="E2667" s="26"/>
      <c r="F2667" s="26"/>
      <c r="G2667" s="26"/>
      <c r="H2667" s="5"/>
    </row>
    <row r="2668" spans="2:38" ht="14.25" customHeight="1">
      <c r="C2668" s="244"/>
      <c r="D2668" s="26"/>
      <c r="E2668" s="26"/>
      <c r="F2668" s="26"/>
      <c r="G2668" s="26"/>
      <c r="H2668" s="5"/>
    </row>
    <row r="2669" spans="2:38" ht="14.25" customHeight="1">
      <c r="C2669" s="244"/>
      <c r="D2669" s="26"/>
      <c r="E2669" s="26"/>
      <c r="F2669" s="26"/>
      <c r="G2669" s="26"/>
      <c r="H2669" s="5"/>
    </row>
    <row r="2670" spans="2:38" ht="14.25" customHeight="1">
      <c r="C2670" s="244"/>
      <c r="D2670" s="26"/>
      <c r="E2670" s="26"/>
      <c r="F2670" s="26"/>
      <c r="G2670" s="26"/>
      <c r="H2670" s="5"/>
    </row>
    <row r="2671" spans="2:38" ht="14.25" customHeight="1">
      <c r="C2671" s="244"/>
      <c r="D2671" s="26"/>
      <c r="E2671" s="26"/>
      <c r="F2671" s="26"/>
      <c r="G2671" s="26"/>
      <c r="H2671" s="5"/>
    </row>
    <row r="2672" spans="2:38" ht="14.25" customHeight="1">
      <c r="C2672" s="244"/>
      <c r="D2672" s="26"/>
      <c r="E2672" s="26"/>
      <c r="F2672" s="26"/>
      <c r="G2672" s="26"/>
      <c r="H2672" s="5"/>
    </row>
    <row r="2673" spans="3:8" ht="14.25" customHeight="1">
      <c r="C2673" s="244"/>
      <c r="D2673" s="26"/>
      <c r="E2673" s="26"/>
      <c r="F2673" s="26"/>
      <c r="G2673" s="26"/>
      <c r="H2673" s="5"/>
    </row>
    <row r="2674" spans="3:8" ht="14.25" customHeight="1">
      <c r="C2674" s="244"/>
      <c r="D2674" s="26"/>
      <c r="E2674" s="26"/>
      <c r="F2674" s="26"/>
      <c r="G2674" s="26"/>
      <c r="H2674" s="5"/>
    </row>
    <row r="2675" spans="3:8" ht="14.25" customHeight="1">
      <c r="C2675" s="244"/>
      <c r="D2675" s="26"/>
      <c r="E2675" s="26"/>
      <c r="F2675" s="26"/>
      <c r="G2675" s="26"/>
      <c r="H2675" s="5"/>
    </row>
    <row r="2676" spans="3:8" ht="14.25" customHeight="1">
      <c r="C2676" s="244"/>
      <c r="D2676" s="26"/>
      <c r="E2676" s="26"/>
      <c r="F2676" s="26"/>
      <c r="G2676" s="26"/>
      <c r="H2676" s="5"/>
    </row>
    <row r="2677" spans="3:8" ht="14.25" customHeight="1">
      <c r="C2677" s="244"/>
      <c r="D2677" s="26"/>
      <c r="E2677" s="26"/>
      <c r="F2677" s="26"/>
      <c r="G2677" s="26"/>
      <c r="H2677" s="5"/>
    </row>
    <row r="2678" spans="3:8" ht="14.25" customHeight="1">
      <c r="C2678" s="244"/>
      <c r="D2678" s="26"/>
      <c r="E2678" s="26"/>
      <c r="F2678" s="26"/>
      <c r="G2678" s="26"/>
      <c r="H2678" s="5"/>
    </row>
    <row r="2679" spans="3:8" ht="14.25" customHeight="1">
      <c r="C2679" s="244"/>
      <c r="D2679" s="26"/>
      <c r="E2679" s="26"/>
      <c r="F2679" s="26"/>
      <c r="G2679" s="26"/>
      <c r="H2679" s="5"/>
    </row>
    <row r="2680" spans="3:8" ht="14.25" customHeight="1">
      <c r="C2680" s="244"/>
      <c r="D2680" s="26"/>
      <c r="E2680" s="26"/>
      <c r="F2680" s="26"/>
      <c r="G2680" s="26"/>
      <c r="H2680" s="5"/>
    </row>
    <row r="2681" spans="3:8" ht="14.25" customHeight="1">
      <c r="C2681" s="244"/>
      <c r="D2681" s="26"/>
      <c r="E2681" s="26"/>
      <c r="F2681" s="26"/>
      <c r="G2681" s="26"/>
      <c r="H2681" s="5"/>
    </row>
    <row r="2682" spans="3:8" ht="14.25" customHeight="1">
      <c r="C2682" s="244"/>
      <c r="D2682" s="26"/>
      <c r="E2682" s="26"/>
      <c r="F2682" s="26"/>
      <c r="G2682" s="26"/>
      <c r="H2682" s="5"/>
    </row>
    <row r="2683" spans="3:8" ht="14.25" customHeight="1">
      <c r="C2683" s="244"/>
      <c r="D2683" s="26"/>
      <c r="E2683" s="26"/>
      <c r="F2683" s="26"/>
      <c r="G2683" s="26"/>
      <c r="H2683" s="5"/>
    </row>
    <row r="2684" spans="3:8" ht="14.25" customHeight="1">
      <c r="C2684" s="244"/>
      <c r="D2684" s="26"/>
      <c r="E2684" s="26"/>
      <c r="F2684" s="26"/>
      <c r="G2684" s="26"/>
      <c r="H2684" s="5"/>
    </row>
    <row r="2685" spans="3:8" ht="14.25" customHeight="1">
      <c r="C2685" s="244"/>
      <c r="D2685" s="26"/>
      <c r="E2685" s="26"/>
      <c r="F2685" s="26"/>
      <c r="G2685" s="26"/>
      <c r="H2685" s="5"/>
    </row>
    <row r="2686" spans="3:8" ht="14.25" customHeight="1">
      <c r="C2686" s="244"/>
      <c r="D2686" s="26"/>
      <c r="E2686" s="26"/>
      <c r="F2686" s="26"/>
      <c r="G2686" s="26"/>
      <c r="H2686" s="5"/>
    </row>
    <row r="2687" spans="3:8" ht="14.25" customHeight="1">
      <c r="C2687" s="244"/>
      <c r="D2687" s="26"/>
      <c r="E2687" s="26"/>
      <c r="F2687" s="26"/>
      <c r="G2687" s="26"/>
      <c r="H2687" s="5"/>
    </row>
    <row r="2688" spans="3:8" ht="14.25" customHeight="1">
      <c r="C2688" s="244"/>
      <c r="D2688" s="26"/>
      <c r="E2688" s="26"/>
      <c r="F2688" s="26"/>
      <c r="G2688" s="26"/>
      <c r="H2688" s="5"/>
    </row>
    <row r="2689" spans="3:8" ht="14.25" customHeight="1">
      <c r="C2689" s="244"/>
      <c r="D2689" s="26"/>
      <c r="E2689" s="26"/>
      <c r="F2689" s="26"/>
      <c r="G2689" s="26"/>
      <c r="H2689" s="5"/>
    </row>
    <row r="2690" spans="3:8" ht="14.25" customHeight="1">
      <c r="C2690" s="244"/>
      <c r="D2690" s="26"/>
      <c r="E2690" s="26"/>
      <c r="F2690" s="26"/>
      <c r="G2690" s="26"/>
      <c r="H2690" s="5"/>
    </row>
    <row r="2691" spans="3:8" ht="14.25" customHeight="1">
      <c r="C2691" s="244"/>
      <c r="D2691" s="26"/>
      <c r="E2691" s="26"/>
      <c r="F2691" s="26"/>
      <c r="G2691" s="26"/>
      <c r="H2691" s="5"/>
    </row>
    <row r="2692" spans="3:8" ht="14.25" customHeight="1">
      <c r="C2692" s="244"/>
      <c r="D2692" s="26"/>
      <c r="E2692" s="26"/>
      <c r="F2692" s="26"/>
      <c r="G2692" s="26"/>
      <c r="H2692" s="5"/>
    </row>
    <row r="2693" spans="3:8" ht="14.25" customHeight="1">
      <c r="C2693" s="244"/>
      <c r="D2693" s="26"/>
      <c r="E2693" s="26"/>
      <c r="F2693" s="26"/>
      <c r="G2693" s="26"/>
      <c r="H2693" s="5"/>
    </row>
    <row r="2694" spans="3:8" ht="14.25" customHeight="1">
      <c r="C2694" s="244"/>
      <c r="D2694" s="26"/>
      <c r="E2694" s="26"/>
      <c r="F2694" s="26"/>
      <c r="G2694" s="26"/>
      <c r="H2694" s="5"/>
    </row>
    <row r="2695" spans="3:8" ht="14.25" customHeight="1">
      <c r="C2695" s="244"/>
      <c r="D2695" s="26"/>
      <c r="E2695" s="26"/>
      <c r="F2695" s="26"/>
      <c r="G2695" s="26"/>
      <c r="H2695" s="5"/>
    </row>
    <row r="2696" spans="3:8" ht="14.25" customHeight="1">
      <c r="C2696" s="244"/>
      <c r="D2696" s="26"/>
      <c r="E2696" s="26"/>
      <c r="F2696" s="26"/>
      <c r="G2696" s="26"/>
      <c r="H2696" s="5"/>
    </row>
    <row r="2697" spans="3:8" ht="14.25" customHeight="1">
      <c r="C2697" s="244"/>
      <c r="D2697" s="26"/>
      <c r="E2697" s="26"/>
      <c r="F2697" s="26"/>
      <c r="G2697" s="26"/>
      <c r="H2697" s="5"/>
    </row>
    <row r="2698" spans="3:8" ht="14.25" customHeight="1">
      <c r="C2698" s="244"/>
      <c r="D2698" s="26"/>
      <c r="E2698" s="26"/>
      <c r="F2698" s="26"/>
      <c r="G2698" s="26"/>
      <c r="H2698" s="5"/>
    </row>
    <row r="2699" spans="3:8" ht="14.25" customHeight="1">
      <c r="C2699" s="244"/>
      <c r="D2699" s="26"/>
      <c r="E2699" s="26"/>
      <c r="F2699" s="26"/>
      <c r="G2699" s="26"/>
      <c r="H2699" s="5"/>
    </row>
    <row r="2700" spans="3:8" ht="14.25" customHeight="1">
      <c r="C2700" s="244"/>
      <c r="D2700" s="26"/>
      <c r="E2700" s="26"/>
      <c r="F2700" s="26"/>
      <c r="G2700" s="26"/>
      <c r="H2700" s="5"/>
    </row>
    <row r="2701" spans="3:8" ht="14.25" customHeight="1">
      <c r="C2701" s="244"/>
      <c r="D2701" s="26"/>
      <c r="E2701" s="26"/>
      <c r="F2701" s="26"/>
      <c r="G2701" s="26"/>
      <c r="H2701" s="5"/>
    </row>
    <row r="2702" spans="3:8" ht="14.25" customHeight="1">
      <c r="C2702" s="244"/>
      <c r="D2702" s="26"/>
      <c r="E2702" s="26"/>
      <c r="F2702" s="26"/>
      <c r="G2702" s="26"/>
      <c r="H2702" s="5"/>
    </row>
    <row r="2703" spans="3:8" ht="14.25" customHeight="1">
      <c r="C2703" s="244"/>
      <c r="D2703" s="26"/>
      <c r="E2703" s="26"/>
      <c r="F2703" s="26"/>
      <c r="G2703" s="26"/>
      <c r="H2703" s="5"/>
    </row>
    <row r="2704" spans="3:8" ht="14.25" customHeight="1">
      <c r="C2704" s="244"/>
      <c r="D2704" s="26"/>
      <c r="E2704" s="26"/>
      <c r="F2704" s="26"/>
      <c r="G2704" s="26"/>
      <c r="H2704" s="5"/>
    </row>
    <row r="2705" spans="1:46" ht="14.25" customHeight="1">
      <c r="C2705" s="244"/>
      <c r="D2705" s="26"/>
      <c r="E2705" s="26"/>
      <c r="F2705" s="26"/>
      <c r="G2705" s="26"/>
      <c r="H2705" s="5"/>
    </row>
    <row r="2706" spans="1:46" ht="14.25" customHeight="1">
      <c r="C2706" s="244"/>
      <c r="D2706" s="26"/>
      <c r="E2706" s="26"/>
      <c r="F2706" s="26"/>
      <c r="G2706" s="26"/>
      <c r="H2706" s="5"/>
    </row>
    <row r="2707" spans="1:46" ht="14.25" customHeight="1">
      <c r="C2707" s="244"/>
      <c r="D2707" s="26"/>
      <c r="E2707" s="26"/>
      <c r="F2707" s="26"/>
      <c r="G2707" s="26"/>
      <c r="H2707" s="5"/>
    </row>
    <row r="2708" spans="1:46" ht="14.25" customHeight="1">
      <c r="C2708" s="244"/>
      <c r="D2708" s="26"/>
      <c r="E2708" s="26"/>
      <c r="F2708" s="26"/>
      <c r="G2708" s="26"/>
      <c r="H2708" s="5"/>
    </row>
    <row r="2709" spans="1:46" ht="14.25" customHeight="1">
      <c r="C2709" s="244"/>
      <c r="D2709" s="26"/>
      <c r="E2709" s="26"/>
      <c r="F2709" s="26"/>
      <c r="G2709" s="26"/>
      <c r="H2709" s="5"/>
    </row>
    <row r="2710" spans="1:46" ht="14.25" customHeight="1">
      <c r="C2710" s="244"/>
      <c r="D2710" s="26"/>
      <c r="E2710" s="26"/>
      <c r="F2710" s="26"/>
      <c r="G2710" s="26"/>
      <c r="H2710" s="5"/>
    </row>
    <row r="2711" spans="1:46" s="8" customFormat="1" ht="14.25" customHeight="1">
      <c r="B2711" s="549" t="str">
        <f>TITLE!C50</f>
        <v>Дверні Ручки</v>
      </c>
      <c r="C2711" s="550"/>
      <c r="D2711" s="117"/>
      <c r="E2711" s="117"/>
      <c r="F2711" s="117"/>
      <c r="G2711" s="117"/>
      <c r="H2711" s="117"/>
      <c r="I2711" s="120"/>
      <c r="J2711" s="120"/>
      <c r="K2711" s="120"/>
      <c r="L2711" s="120"/>
      <c r="M2711" s="120"/>
      <c r="N2711" s="120"/>
      <c r="O2711" s="120"/>
      <c r="P2711" s="120"/>
      <c r="Q2711" s="120"/>
      <c r="R2711" s="120"/>
      <c r="S2711" s="120"/>
      <c r="T2711" s="545" t="str">
        <f>IF($C$1="ENG",CONCATENATE("up to: ",B2635),CONCATENATE("вгору до: ",B2635))</f>
        <v>вгору до: Фрамуги</v>
      </c>
      <c r="U2711" s="545"/>
      <c r="V2711" s="545"/>
      <c r="W2711" s="545"/>
      <c r="AC2711" s="1"/>
      <c r="AN2711" s="279"/>
      <c r="AO2711" s="279"/>
      <c r="AP2711" s="279"/>
      <c r="AQ2711" s="279"/>
      <c r="AR2711" s="279"/>
      <c r="AS2711" s="279"/>
      <c r="AT2711" s="279"/>
    </row>
    <row r="2712" spans="1:46" s="8" customFormat="1" ht="5.0999999999999996" customHeight="1">
      <c r="C2712" s="422"/>
      <c r="L2712" s="48"/>
      <c r="M2712" s="48"/>
      <c r="N2712" s="48"/>
      <c r="O2712" s="48"/>
      <c r="P2712" s="48"/>
      <c r="Q2712" s="48"/>
      <c r="R2712" s="48"/>
      <c r="S2712" s="48"/>
      <c r="T2712" s="114"/>
      <c r="U2712" s="114"/>
      <c r="V2712" s="114"/>
      <c r="W2712" s="114"/>
      <c r="AN2712" s="279"/>
      <c r="AO2712" s="279"/>
      <c r="AP2712" s="279"/>
      <c r="AQ2712" s="279"/>
      <c r="AR2712" s="279"/>
      <c r="AS2712" s="279"/>
      <c r="AT2712" s="279"/>
    </row>
    <row r="2713" spans="1:46" ht="33.75" customHeight="1">
      <c r="A2713" s="8"/>
      <c r="B2713" s="61" t="str">
        <f>IF($C$1="ENG","model","модель")</f>
        <v>модель</v>
      </c>
      <c r="C2713" s="433"/>
      <c r="D2713" s="585" t="str">
        <f>IF($C$1="ENG","cat. options","див. каталог")</f>
        <v>див. каталог</v>
      </c>
      <c r="E2713" s="586"/>
      <c r="J2713" s="48"/>
      <c r="K2713" s="48"/>
      <c r="L2713" s="47"/>
      <c r="M2713" s="47"/>
      <c r="N2713" s="47"/>
      <c r="O2713" s="47"/>
      <c r="P2713" s="47"/>
      <c r="Q2713" s="47"/>
      <c r="R2713" s="47"/>
      <c r="S2713" s="47"/>
    </row>
    <row r="2714" spans="1:46" ht="34.5" customHeight="1">
      <c r="A2714" s="8"/>
      <c r="B2714" s="13" t="str">
        <f>IF($C$1="ENG","Door handle VERONA","Ручка VERONA")</f>
        <v>Ручка VERONA</v>
      </c>
      <c r="C2714" s="434"/>
      <c r="D2714" s="15">
        <f>IF(AC2714="","",(1-$W$2)*(AC2714/1.2))</f>
        <v>2666.666666666667</v>
      </c>
      <c r="E2714" s="64">
        <f>IF($W$5=0.2,D2714*1.2,D2714)/$W$4</f>
        <v>3200.0000000000005</v>
      </c>
      <c r="L2714" s="28"/>
      <c r="M2714" s="59"/>
      <c r="N2714" s="28"/>
      <c r="O2714" s="29"/>
      <c r="P2714" s="28"/>
      <c r="Q2714" s="59"/>
      <c r="R2714" s="28"/>
      <c r="S2714" s="29"/>
      <c r="T2714" s="42"/>
      <c r="U2714" s="30"/>
      <c r="W2714" s="20"/>
      <c r="X2714" s="22"/>
      <c r="Y2714" s="22"/>
      <c r="Z2714" s="22"/>
      <c r="AA2714" s="22"/>
      <c r="AB2714" s="22"/>
      <c r="AC2714" s="297">
        <v>3200</v>
      </c>
      <c r="AD2714" s="1">
        <v>3260</v>
      </c>
      <c r="AE2714" s="1">
        <f>AD2714/AC2714-1</f>
        <v>1.8750000000000044E-2</v>
      </c>
      <c r="AF2714" s="288"/>
      <c r="AG2714" s="288"/>
      <c r="AH2714" s="288"/>
      <c r="AI2714" s="288"/>
      <c r="AJ2714" s="288"/>
      <c r="AK2714" s="288"/>
      <c r="AL2714" s="288"/>
    </row>
    <row r="2715" spans="1:46" ht="34.5" customHeight="1">
      <c r="A2715" s="8"/>
      <c r="B2715" s="16" t="str">
        <f>IF($C$1="ENG","Door handle MILANO","Ручка MILANO")</f>
        <v>Ручка MILANO</v>
      </c>
      <c r="C2715" s="435"/>
      <c r="D2715" s="18">
        <f>IF(AC2715="","",(1-$W$2)*(AC2715/1.2))</f>
        <v>2666.666666666667</v>
      </c>
      <c r="E2715" s="66">
        <f>IF($W$5=0.2,D2715*1.2,D2715)/$W$4</f>
        <v>3200.0000000000005</v>
      </c>
      <c r="L2715" s="28"/>
      <c r="M2715" s="59"/>
      <c r="N2715" s="28"/>
      <c r="O2715" s="29"/>
      <c r="P2715" s="28"/>
      <c r="Q2715" s="59"/>
      <c r="R2715" s="28"/>
      <c r="S2715" s="29"/>
      <c r="T2715" s="42"/>
      <c r="U2715" s="30"/>
      <c r="W2715" s="30"/>
      <c r="AC2715" s="297">
        <v>3200</v>
      </c>
      <c r="AD2715" s="1">
        <v>3260</v>
      </c>
      <c r="AE2715" s="1">
        <f t="shared" ref="AE2715:AE2718" si="439">AD2715/AC2715-1</f>
        <v>1.8750000000000044E-2</v>
      </c>
      <c r="AF2715" s="288"/>
      <c r="AG2715" s="288"/>
      <c r="AH2715" s="288"/>
      <c r="AI2715" s="288"/>
      <c r="AJ2715" s="288"/>
      <c r="AK2715" s="288"/>
      <c r="AL2715" s="288"/>
    </row>
    <row r="2716" spans="1:46" ht="34.5" customHeight="1">
      <c r="B2716" s="16" t="str">
        <f>IF($C$1="ENG","Door handle HANDY","Ручка HANDY")</f>
        <v>Ручка HANDY</v>
      </c>
      <c r="C2716" s="435"/>
      <c r="D2716" s="108">
        <f>IF(AC2716="","",(1-$W$2)*(AC2716/1.2))</f>
        <v>1300</v>
      </c>
      <c r="E2716" s="66">
        <f>IF($W$5=0.2,D2716*1.2,D2716)/$W$4</f>
        <v>1560</v>
      </c>
      <c r="L2716" s="28"/>
      <c r="N2716" s="28"/>
      <c r="P2716" s="28"/>
      <c r="R2716" s="28"/>
      <c r="AC2716" s="297">
        <v>1560</v>
      </c>
      <c r="AD2716" s="1">
        <v>1560</v>
      </c>
      <c r="AE2716" s="1">
        <f t="shared" si="439"/>
        <v>0</v>
      </c>
      <c r="AF2716" s="288"/>
      <c r="AG2716" s="288"/>
      <c r="AH2716" s="288"/>
      <c r="AI2716" s="288"/>
      <c r="AJ2716" s="288"/>
      <c r="AK2716" s="288"/>
      <c r="AL2716" s="288"/>
    </row>
    <row r="2717" spans="1:46" ht="34.5" customHeight="1">
      <c r="A2717" s="8"/>
      <c r="B2717" s="16" t="str">
        <f>IF($C$1="ENG","Door handle PRIUS","Ручка PRIUS")</f>
        <v>Ручка PRIUS</v>
      </c>
      <c r="C2717" s="435"/>
      <c r="D2717" s="18">
        <f>IF(AC2717="","",(1-$W$2)*(AC2717/1.2))</f>
        <v>1300</v>
      </c>
      <c r="E2717" s="66">
        <f>IF($W$5=0.2,D2717*1.2,D2717)/$W$4</f>
        <v>1560</v>
      </c>
      <c r="L2717" s="28"/>
      <c r="N2717" s="28"/>
      <c r="O2717" s="29"/>
      <c r="P2717" s="28"/>
      <c r="R2717" s="28"/>
      <c r="S2717" s="29"/>
      <c r="T2717" s="42"/>
      <c r="U2717" s="30"/>
      <c r="W2717" s="30"/>
      <c r="AC2717" s="297">
        <v>1560</v>
      </c>
      <c r="AD2717" s="1">
        <v>1560</v>
      </c>
      <c r="AE2717" s="1">
        <f t="shared" si="439"/>
        <v>0</v>
      </c>
      <c r="AF2717" s="288"/>
      <c r="AG2717" s="288"/>
      <c r="AH2717" s="288"/>
      <c r="AI2717" s="288"/>
      <c r="AJ2717" s="288"/>
      <c r="AK2717" s="288"/>
      <c r="AL2717" s="288"/>
    </row>
    <row r="2718" spans="1:46" ht="34.5" customHeight="1">
      <c r="B2718" s="23" t="str">
        <f>IF($C$1="ENG","Door handle OFFICE","Ручка OFFICE")</f>
        <v>Ручка OFFICE</v>
      </c>
      <c r="C2718" s="436"/>
      <c r="D2718" s="25">
        <f>IF(AC2718="","",(1-$W$2)*(AC2718/1.2))</f>
        <v>625</v>
      </c>
      <c r="E2718" s="69">
        <f>IF($W$5=0.2,D2718*1.2,D2718)/$W$4</f>
        <v>750</v>
      </c>
      <c r="L2718" s="28"/>
      <c r="P2718" s="28"/>
      <c r="AC2718" s="297">
        <v>750</v>
      </c>
      <c r="AD2718" s="1">
        <v>750</v>
      </c>
      <c r="AE2718" s="1">
        <f t="shared" si="439"/>
        <v>0</v>
      </c>
      <c r="AF2718" s="288"/>
      <c r="AG2718" s="288"/>
      <c r="AH2718" s="288"/>
      <c r="AI2718" s="288"/>
      <c r="AJ2718" s="288"/>
      <c r="AK2718" s="288"/>
      <c r="AL2718" s="288"/>
    </row>
    <row r="2719" spans="1:46" ht="14.25" customHeight="1">
      <c r="T2719" s="570" t="str">
        <f>IF($C$1="ENG",CONCATENATE("down to: ",B2769),CONCATENATE("вниз до: ",B2769))</f>
        <v>вниз до: Інші Аксесуари</v>
      </c>
      <c r="U2719" s="570"/>
      <c r="V2719" s="570"/>
      <c r="W2719" s="570"/>
    </row>
    <row r="2720" spans="1:46" ht="14.25" customHeight="1">
      <c r="C2720" s="244"/>
      <c r="D2720" s="26"/>
      <c r="E2720" s="26"/>
      <c r="F2720" s="26"/>
      <c r="G2720" s="26"/>
      <c r="H2720" s="5"/>
    </row>
    <row r="2721" spans="3:8" ht="14.25" customHeight="1">
      <c r="C2721" s="244"/>
      <c r="D2721" s="26"/>
      <c r="E2721" s="26"/>
      <c r="F2721" s="26"/>
      <c r="G2721" s="26"/>
      <c r="H2721" s="5"/>
    </row>
    <row r="2722" spans="3:8" ht="14.25" customHeight="1">
      <c r="C2722" s="244"/>
      <c r="D2722" s="26"/>
      <c r="E2722" s="26"/>
      <c r="F2722" s="26"/>
      <c r="G2722" s="26"/>
      <c r="H2722" s="5"/>
    </row>
    <row r="2723" spans="3:8" ht="14.25" customHeight="1">
      <c r="C2723" s="244"/>
      <c r="D2723" s="26"/>
      <c r="E2723" s="26"/>
      <c r="F2723" s="26"/>
      <c r="G2723" s="26"/>
      <c r="H2723" s="5"/>
    </row>
    <row r="2724" spans="3:8" ht="14.25" customHeight="1">
      <c r="C2724" s="244"/>
      <c r="D2724" s="26"/>
      <c r="E2724" s="26"/>
      <c r="F2724" s="26"/>
      <c r="G2724" s="26"/>
      <c r="H2724" s="5"/>
    </row>
    <row r="2725" spans="3:8" ht="14.25" customHeight="1">
      <c r="C2725" s="244"/>
      <c r="D2725" s="26"/>
      <c r="E2725" s="26"/>
      <c r="F2725" s="26"/>
      <c r="G2725" s="26"/>
      <c r="H2725" s="5"/>
    </row>
    <row r="2726" spans="3:8" ht="14.25" customHeight="1">
      <c r="C2726" s="244"/>
      <c r="D2726" s="26"/>
      <c r="E2726" s="26"/>
      <c r="F2726" s="26"/>
      <c r="G2726" s="26"/>
      <c r="H2726" s="5"/>
    </row>
    <row r="2727" spans="3:8" ht="14.25" customHeight="1">
      <c r="C2727" s="244"/>
      <c r="D2727" s="26"/>
      <c r="E2727" s="26"/>
      <c r="F2727" s="26"/>
      <c r="G2727" s="26"/>
      <c r="H2727" s="5"/>
    </row>
    <row r="2728" spans="3:8" ht="14.25" customHeight="1">
      <c r="C2728" s="244"/>
      <c r="D2728" s="26"/>
      <c r="E2728" s="26"/>
      <c r="F2728" s="26"/>
      <c r="G2728" s="26"/>
      <c r="H2728" s="5"/>
    </row>
    <row r="2729" spans="3:8" ht="14.25" customHeight="1">
      <c r="C2729" s="244"/>
      <c r="D2729" s="26"/>
      <c r="E2729" s="26"/>
      <c r="F2729" s="26"/>
      <c r="G2729" s="26"/>
      <c r="H2729" s="5"/>
    </row>
    <row r="2730" spans="3:8" ht="14.25" customHeight="1">
      <c r="C2730" s="244"/>
      <c r="D2730" s="26"/>
      <c r="E2730" s="26"/>
      <c r="F2730" s="26"/>
      <c r="G2730" s="26"/>
      <c r="H2730" s="5"/>
    </row>
    <row r="2731" spans="3:8" ht="14.25" customHeight="1">
      <c r="C2731" s="244"/>
      <c r="D2731" s="26"/>
      <c r="E2731" s="26"/>
      <c r="F2731" s="26"/>
      <c r="G2731" s="26"/>
      <c r="H2731" s="5"/>
    </row>
    <row r="2732" spans="3:8" ht="14.25" customHeight="1">
      <c r="C2732" s="244"/>
      <c r="D2732" s="26"/>
      <c r="E2732" s="26"/>
      <c r="F2732" s="26"/>
      <c r="G2732" s="26"/>
      <c r="H2732" s="5"/>
    </row>
    <row r="2733" spans="3:8" ht="14.25" customHeight="1">
      <c r="C2733" s="244"/>
      <c r="D2733" s="26"/>
      <c r="E2733" s="26"/>
      <c r="F2733" s="26"/>
      <c r="G2733" s="26"/>
      <c r="H2733" s="5"/>
    </row>
    <row r="2734" spans="3:8" ht="14.25" customHeight="1">
      <c r="C2734" s="244"/>
      <c r="D2734" s="26"/>
      <c r="E2734" s="26"/>
      <c r="F2734" s="26"/>
      <c r="G2734" s="26"/>
      <c r="H2734" s="5"/>
    </row>
    <row r="2735" spans="3:8" ht="14.25" customHeight="1">
      <c r="C2735" s="244"/>
      <c r="D2735" s="26"/>
      <c r="E2735" s="26"/>
      <c r="F2735" s="26"/>
      <c r="G2735" s="26"/>
      <c r="H2735" s="5"/>
    </row>
    <row r="2736" spans="3:8" ht="14.25" customHeight="1">
      <c r="C2736" s="244"/>
      <c r="D2736" s="26"/>
      <c r="E2736" s="26"/>
      <c r="F2736" s="26"/>
      <c r="G2736" s="26"/>
      <c r="H2736" s="5"/>
    </row>
    <row r="2737" spans="3:8" ht="14.25" customHeight="1">
      <c r="C2737" s="244"/>
      <c r="D2737" s="26"/>
      <c r="E2737" s="26"/>
      <c r="F2737" s="26"/>
      <c r="G2737" s="26"/>
      <c r="H2737" s="5"/>
    </row>
    <row r="2738" spans="3:8" ht="14.25" customHeight="1">
      <c r="C2738" s="244"/>
      <c r="D2738" s="26"/>
      <c r="E2738" s="26"/>
      <c r="F2738" s="26"/>
      <c r="G2738" s="26"/>
      <c r="H2738" s="5"/>
    </row>
    <row r="2739" spans="3:8" ht="14.25" customHeight="1">
      <c r="C2739" s="244"/>
      <c r="D2739" s="26"/>
      <c r="E2739" s="26"/>
      <c r="F2739" s="26"/>
      <c r="G2739" s="26"/>
      <c r="H2739" s="5"/>
    </row>
    <row r="2740" spans="3:8" ht="14.25" customHeight="1">
      <c r="C2740" s="244"/>
      <c r="D2740" s="26"/>
      <c r="E2740" s="26"/>
      <c r="F2740" s="26"/>
      <c r="G2740" s="26"/>
      <c r="H2740" s="5"/>
    </row>
    <row r="2741" spans="3:8" ht="14.25" customHeight="1">
      <c r="C2741" s="244"/>
      <c r="D2741" s="26"/>
      <c r="E2741" s="26"/>
      <c r="F2741" s="26"/>
      <c r="G2741" s="26"/>
      <c r="H2741" s="5"/>
    </row>
    <row r="2742" spans="3:8" ht="14.25" customHeight="1">
      <c r="C2742" s="244"/>
      <c r="D2742" s="26"/>
      <c r="E2742" s="26"/>
      <c r="F2742" s="26"/>
      <c r="G2742" s="26"/>
      <c r="H2742" s="5"/>
    </row>
    <row r="2743" spans="3:8" ht="14.25" customHeight="1">
      <c r="C2743" s="244"/>
      <c r="D2743" s="26"/>
      <c r="E2743" s="26"/>
      <c r="F2743" s="26"/>
      <c r="G2743" s="26"/>
      <c r="H2743" s="5"/>
    </row>
    <row r="2744" spans="3:8" ht="14.25" customHeight="1">
      <c r="C2744" s="244"/>
      <c r="D2744" s="26"/>
      <c r="E2744" s="26"/>
      <c r="F2744" s="26"/>
      <c r="G2744" s="26"/>
      <c r="H2744" s="5"/>
    </row>
    <row r="2745" spans="3:8" ht="14.25" customHeight="1">
      <c r="C2745" s="244"/>
      <c r="D2745" s="26"/>
      <c r="E2745" s="26"/>
      <c r="F2745" s="26"/>
      <c r="G2745" s="26"/>
      <c r="H2745" s="5"/>
    </row>
    <row r="2746" spans="3:8" ht="14.25" customHeight="1">
      <c r="C2746" s="244"/>
      <c r="D2746" s="26"/>
      <c r="E2746" s="26"/>
      <c r="F2746" s="26"/>
      <c r="G2746" s="26"/>
      <c r="H2746" s="5"/>
    </row>
    <row r="2747" spans="3:8" ht="14.25" customHeight="1">
      <c r="C2747" s="244"/>
      <c r="D2747" s="26"/>
      <c r="E2747" s="26"/>
      <c r="F2747" s="26"/>
      <c r="G2747" s="26"/>
      <c r="H2747" s="5"/>
    </row>
    <row r="2748" spans="3:8" ht="14.25" customHeight="1">
      <c r="C2748" s="244"/>
      <c r="D2748" s="26"/>
      <c r="E2748" s="26"/>
      <c r="F2748" s="26"/>
      <c r="G2748" s="26"/>
      <c r="H2748" s="5"/>
    </row>
    <row r="2749" spans="3:8" ht="14.25" customHeight="1">
      <c r="C2749" s="244"/>
      <c r="D2749" s="26"/>
      <c r="E2749" s="26"/>
      <c r="F2749" s="26"/>
      <c r="G2749" s="26"/>
      <c r="H2749" s="5"/>
    </row>
    <row r="2750" spans="3:8" ht="14.25" customHeight="1">
      <c r="C2750" s="244"/>
      <c r="D2750" s="26"/>
      <c r="E2750" s="26"/>
      <c r="F2750" s="26"/>
      <c r="G2750" s="26"/>
      <c r="H2750" s="5"/>
    </row>
    <row r="2751" spans="3:8" ht="14.25" customHeight="1">
      <c r="C2751" s="244"/>
      <c r="D2751" s="26"/>
      <c r="E2751" s="26"/>
      <c r="F2751" s="26"/>
      <c r="G2751" s="26"/>
      <c r="H2751" s="5"/>
    </row>
    <row r="2752" spans="3:8" ht="14.25" customHeight="1">
      <c r="C2752" s="244"/>
      <c r="D2752" s="26"/>
      <c r="E2752" s="26"/>
      <c r="F2752" s="26"/>
      <c r="G2752" s="26"/>
      <c r="H2752" s="5"/>
    </row>
    <row r="2753" spans="3:8" ht="14.25" customHeight="1">
      <c r="C2753" s="244"/>
      <c r="D2753" s="26"/>
      <c r="E2753" s="26"/>
      <c r="F2753" s="26"/>
      <c r="G2753" s="26"/>
      <c r="H2753" s="5"/>
    </row>
    <row r="2754" spans="3:8" ht="14.25" customHeight="1">
      <c r="C2754" s="244"/>
      <c r="D2754" s="26"/>
      <c r="E2754" s="26"/>
      <c r="F2754" s="26"/>
      <c r="G2754" s="26"/>
      <c r="H2754" s="5"/>
    </row>
    <row r="2755" spans="3:8" ht="14.25" customHeight="1">
      <c r="C2755" s="244"/>
      <c r="D2755" s="26"/>
      <c r="E2755" s="26"/>
      <c r="F2755" s="26"/>
      <c r="G2755" s="26"/>
      <c r="H2755" s="5"/>
    </row>
    <row r="2756" spans="3:8" ht="14.25" customHeight="1">
      <c r="C2756" s="244"/>
      <c r="D2756" s="26"/>
      <c r="E2756" s="26"/>
      <c r="F2756" s="26"/>
      <c r="G2756" s="26"/>
      <c r="H2756" s="5"/>
    </row>
    <row r="2757" spans="3:8" ht="14.25" customHeight="1">
      <c r="C2757" s="244"/>
      <c r="D2757" s="26"/>
      <c r="E2757" s="26"/>
      <c r="F2757" s="26"/>
      <c r="G2757" s="26"/>
      <c r="H2757" s="5"/>
    </row>
    <row r="2758" spans="3:8" ht="14.25" customHeight="1">
      <c r="C2758" s="244"/>
      <c r="D2758" s="26"/>
      <c r="E2758" s="26"/>
      <c r="F2758" s="26"/>
      <c r="G2758" s="26"/>
      <c r="H2758" s="5"/>
    </row>
    <row r="2759" spans="3:8" ht="14.25" customHeight="1">
      <c r="C2759" s="244"/>
      <c r="D2759" s="26"/>
      <c r="E2759" s="26"/>
      <c r="F2759" s="26"/>
      <c r="G2759" s="26"/>
      <c r="H2759" s="5"/>
    </row>
    <row r="2760" spans="3:8" ht="14.25" customHeight="1">
      <c r="C2760" s="244"/>
      <c r="D2760" s="26"/>
      <c r="E2760" s="26"/>
      <c r="F2760" s="26"/>
      <c r="G2760" s="26"/>
      <c r="H2760" s="5"/>
    </row>
    <row r="2761" spans="3:8" ht="14.25" customHeight="1">
      <c r="C2761" s="244"/>
      <c r="D2761" s="26"/>
      <c r="E2761" s="26"/>
      <c r="F2761" s="26"/>
      <c r="G2761" s="26"/>
      <c r="H2761" s="5"/>
    </row>
    <row r="2762" spans="3:8" ht="14.25" customHeight="1">
      <c r="C2762" s="244"/>
      <c r="D2762" s="26"/>
      <c r="E2762" s="26"/>
      <c r="F2762" s="26"/>
      <c r="G2762" s="26"/>
      <c r="H2762" s="5"/>
    </row>
    <row r="2763" spans="3:8" ht="14.25" customHeight="1">
      <c r="C2763" s="244"/>
      <c r="D2763" s="26"/>
      <c r="E2763" s="26"/>
      <c r="F2763" s="26"/>
      <c r="G2763" s="26"/>
      <c r="H2763" s="5"/>
    </row>
    <row r="2764" spans="3:8" ht="14.25" customHeight="1">
      <c r="C2764" s="244"/>
      <c r="D2764" s="26"/>
      <c r="E2764" s="26"/>
      <c r="F2764" s="26"/>
      <c r="G2764" s="26"/>
      <c r="H2764" s="5"/>
    </row>
    <row r="2765" spans="3:8" ht="14.25" customHeight="1">
      <c r="C2765" s="244"/>
      <c r="D2765" s="26"/>
      <c r="E2765" s="26"/>
      <c r="F2765" s="26"/>
      <c r="G2765" s="26"/>
      <c r="H2765" s="5"/>
    </row>
    <row r="2766" spans="3:8" ht="14.25" customHeight="1">
      <c r="C2766" s="244"/>
      <c r="D2766" s="26"/>
      <c r="E2766" s="26"/>
      <c r="F2766" s="26"/>
      <c r="G2766" s="26"/>
      <c r="H2766" s="5"/>
    </row>
    <row r="2767" spans="3:8" ht="14.25" customHeight="1">
      <c r="C2767" s="244"/>
      <c r="D2767" s="26"/>
      <c r="E2767" s="26"/>
      <c r="F2767" s="26"/>
      <c r="G2767" s="26"/>
      <c r="H2767" s="5"/>
    </row>
    <row r="2768" spans="3:8" ht="14.25" customHeight="1">
      <c r="C2768" s="244"/>
      <c r="D2768" s="26"/>
      <c r="E2768" s="26"/>
      <c r="F2768" s="26"/>
      <c r="G2768" s="26"/>
      <c r="H2768" s="5"/>
    </row>
    <row r="2769" spans="1:46" s="8" customFormat="1">
      <c r="B2769" s="549" t="str">
        <f>TITLE!$C$51</f>
        <v>Інші Аксесуари</v>
      </c>
      <c r="C2769" s="550"/>
      <c r="D2769" s="117"/>
      <c r="E2769" s="117"/>
      <c r="F2769" s="117"/>
      <c r="G2769" s="117"/>
      <c r="H2769" s="117"/>
      <c r="I2769" s="120"/>
      <c r="J2769" s="120"/>
      <c r="K2769" s="120"/>
      <c r="L2769" s="120"/>
      <c r="M2769" s="120"/>
      <c r="N2769" s="120"/>
      <c r="O2769" s="120"/>
      <c r="P2769" s="120"/>
      <c r="Q2769" s="120"/>
      <c r="R2769" s="120"/>
      <c r="S2769" s="120"/>
      <c r="T2769" s="545" t="str">
        <f>IF($C$1="ENG",CONCATENATE("up to: ",B2711),CONCATENATE("вгору до: ",B2711))</f>
        <v>вгору до: Дверні Ручки</v>
      </c>
      <c r="U2769" s="545"/>
      <c r="V2769" s="545"/>
      <c r="W2769" s="545"/>
      <c r="AN2769" s="279"/>
      <c r="AO2769" s="279"/>
      <c r="AP2769" s="279"/>
      <c r="AQ2769" s="279"/>
      <c r="AR2769" s="279"/>
      <c r="AS2769" s="279"/>
      <c r="AT2769" s="279"/>
    </row>
    <row r="2770" spans="1:46" s="8" customFormat="1" ht="5.0999999999999996" customHeight="1">
      <c r="C2770" s="422"/>
      <c r="L2770" s="48"/>
      <c r="M2770" s="48"/>
      <c r="N2770" s="48"/>
      <c r="O2770" s="48"/>
      <c r="P2770" s="48"/>
      <c r="Q2770" s="48"/>
      <c r="R2770" s="48"/>
      <c r="S2770" s="48"/>
      <c r="T2770" s="114"/>
      <c r="U2770" s="114"/>
      <c r="V2770" s="114"/>
      <c r="W2770" s="114"/>
      <c r="AN2770" s="279"/>
      <c r="AO2770" s="279"/>
      <c r="AP2770" s="279"/>
      <c r="AQ2770" s="279"/>
      <c r="AR2770" s="279"/>
      <c r="AS2770" s="279"/>
      <c r="AT2770" s="279"/>
    </row>
    <row r="2771" spans="1:46" ht="24" customHeight="1">
      <c r="A2771" s="8"/>
      <c r="B2771" s="61" t="str">
        <f>IF($C$1="ENG","model","модель")</f>
        <v>модель</v>
      </c>
      <c r="C2771" s="433"/>
      <c r="D2771" s="585" t="str">
        <f>IF($C$1="ENG","price","Ціна")</f>
        <v>Ціна</v>
      </c>
      <c r="E2771" s="586"/>
      <c r="F2771" s="10"/>
      <c r="G2771" s="10"/>
      <c r="H2771" s="10"/>
      <c r="I2771" s="48"/>
      <c r="J2771" s="48"/>
      <c r="K2771" s="48"/>
      <c r="L2771" s="47"/>
      <c r="M2771" s="47"/>
      <c r="N2771" s="47"/>
      <c r="O2771" s="47"/>
      <c r="P2771" s="47"/>
      <c r="Q2771" s="47"/>
      <c r="R2771" s="47"/>
      <c r="S2771" s="47"/>
    </row>
    <row r="2772" spans="1:46" ht="34.5" customHeight="1">
      <c r="A2772" s="8"/>
      <c r="B2772" s="13" t="str">
        <f>IF($C$1="ENG","Door Lock STANDARD","Замок STANDARD")</f>
        <v>Замок STANDARD</v>
      </c>
      <c r="C2772" s="434"/>
      <c r="D2772" s="15">
        <f t="shared" ref="D2772:D2775" si="440">IF(AC2772="","",(1-$W$2)*(AC2772/1.2))</f>
        <v>333.33333333333337</v>
      </c>
      <c r="E2772" s="64">
        <f t="shared" ref="E2772:E2775" si="441">IF($W$5=0.2,D2772*1.2,D2772)/$W$4</f>
        <v>400.00000000000006</v>
      </c>
      <c r="F2772" s="62"/>
      <c r="G2772" s="47"/>
      <c r="H2772" s="47"/>
      <c r="I2772" s="47"/>
      <c r="J2772" s="47"/>
      <c r="K2772" s="47"/>
      <c r="L2772" s="28"/>
      <c r="M2772" s="59"/>
      <c r="N2772" s="28"/>
      <c r="O2772" s="29"/>
      <c r="P2772" s="28"/>
      <c r="Q2772" s="59"/>
      <c r="R2772" s="28"/>
      <c r="S2772" s="29"/>
      <c r="T2772" s="42"/>
      <c r="U2772" s="30"/>
      <c r="W2772" s="20"/>
      <c r="X2772" s="22"/>
      <c r="Y2772" s="22"/>
      <c r="Z2772" s="22"/>
      <c r="AA2772" s="22"/>
      <c r="AB2772" s="22"/>
      <c r="AC2772" s="331">
        <v>400.00000000000006</v>
      </c>
      <c r="AD2772" s="288"/>
      <c r="AE2772" s="288"/>
      <c r="AF2772" s="288"/>
      <c r="AG2772" s="288"/>
      <c r="AH2772" s="288"/>
      <c r="AI2772" s="288"/>
      <c r="AJ2772" s="288"/>
      <c r="AK2772" s="288"/>
      <c r="AL2772" s="288"/>
    </row>
    <row r="2773" spans="1:46" ht="34.5" customHeight="1">
      <c r="A2773" s="8"/>
      <c r="B2773" s="16" t="str">
        <f>IF($C$1="ENG","Door hinge for rabbit door","завіса штирьова")</f>
        <v>завіса штирьова</v>
      </c>
      <c r="C2773" s="435"/>
      <c r="D2773" s="18">
        <f t="shared" si="440"/>
        <v>100</v>
      </c>
      <c r="E2773" s="66">
        <f t="shared" si="441"/>
        <v>120</v>
      </c>
      <c r="F2773" s="65"/>
      <c r="G2773" s="59"/>
      <c r="H2773" s="104"/>
      <c r="I2773" s="105"/>
      <c r="J2773" s="28"/>
      <c r="K2773" s="29"/>
      <c r="L2773" s="28"/>
      <c r="M2773" s="59"/>
      <c r="N2773" s="28"/>
      <c r="O2773" s="29"/>
      <c r="P2773" s="28"/>
      <c r="Q2773" s="59"/>
      <c r="R2773" s="28"/>
      <c r="S2773" s="29"/>
      <c r="T2773" s="42"/>
      <c r="U2773" s="30"/>
      <c r="W2773" s="30"/>
      <c r="AC2773" s="331">
        <v>120</v>
      </c>
      <c r="AD2773" s="288"/>
      <c r="AE2773" s="288"/>
      <c r="AF2773" s="288"/>
      <c r="AG2773" s="288"/>
      <c r="AH2773" s="288"/>
      <c r="AI2773" s="288"/>
      <c r="AJ2773" s="288"/>
      <c r="AK2773" s="288"/>
      <c r="AL2773" s="288"/>
    </row>
    <row r="2774" spans="1:46" ht="34.5" customHeight="1">
      <c r="A2774" s="8"/>
      <c r="B2774" s="16" t="str">
        <f>IF($C$1="ENG","Door lock hatch","відповідна планка")</f>
        <v>відповідна планка</v>
      </c>
      <c r="C2774" s="435"/>
      <c r="D2774" s="18">
        <f t="shared" si="440"/>
        <v>100</v>
      </c>
      <c r="E2774" s="66">
        <f t="shared" si="441"/>
        <v>120</v>
      </c>
      <c r="F2774" s="65"/>
      <c r="G2774" s="59"/>
      <c r="H2774" s="104"/>
      <c r="I2774" s="105"/>
      <c r="J2774" s="28"/>
      <c r="K2774" s="29"/>
      <c r="L2774" s="28"/>
      <c r="M2774" s="59"/>
      <c r="N2774" s="28"/>
      <c r="O2774" s="29"/>
      <c r="P2774" s="28"/>
      <c r="Q2774" s="59"/>
      <c r="R2774" s="28"/>
      <c r="S2774" s="29"/>
      <c r="T2774" s="42"/>
      <c r="U2774" s="30"/>
      <c r="W2774" s="30"/>
      <c r="AC2774" s="331">
        <v>120</v>
      </c>
      <c r="AD2774" s="288"/>
      <c r="AE2774" s="288"/>
      <c r="AF2774" s="288"/>
      <c r="AG2774" s="288"/>
      <c r="AH2774" s="288"/>
      <c r="AI2774" s="288"/>
      <c r="AJ2774" s="288"/>
      <c r="AK2774" s="288"/>
      <c r="AL2774" s="288"/>
    </row>
    <row r="2775" spans="1:46" ht="34.5" customHeight="1">
      <c r="B2775" s="23" t="str">
        <f>IF($C$1="ENG","Door lock latch","Шпінгалет")</f>
        <v>Шпінгалет</v>
      </c>
      <c r="C2775" s="436"/>
      <c r="D2775" s="68">
        <f t="shared" si="440"/>
        <v>166.66666666666669</v>
      </c>
      <c r="E2775" s="69">
        <f t="shared" si="441"/>
        <v>200.00000000000003</v>
      </c>
      <c r="F2775" s="65"/>
      <c r="G2775" s="59"/>
      <c r="H2775" s="104"/>
      <c r="I2775" s="105"/>
      <c r="J2775" s="28"/>
      <c r="K2775" s="29"/>
      <c r="AC2775" s="331">
        <v>200.00000000000003</v>
      </c>
      <c r="AD2775" s="288"/>
      <c r="AE2775" s="288"/>
      <c r="AF2775" s="288"/>
      <c r="AG2775" s="288"/>
      <c r="AH2775" s="288"/>
      <c r="AI2775" s="288"/>
      <c r="AJ2775" s="288"/>
      <c r="AK2775" s="288"/>
      <c r="AL2775" s="288"/>
    </row>
    <row r="2776" spans="1:46" ht="14.25" customHeight="1">
      <c r="F2776" s="26"/>
      <c r="G2776" s="59"/>
      <c r="H2776" s="104"/>
      <c r="I2776" s="105"/>
    </row>
    <row r="2777" spans="1:46" ht="14.25" customHeight="1">
      <c r="C2777" s="244"/>
      <c r="D2777" s="26"/>
      <c r="E2777" s="26"/>
      <c r="F2777" s="26"/>
      <c r="G2777" s="26"/>
      <c r="H2777" s="5"/>
    </row>
    <row r="2778" spans="1:46" ht="14.25" customHeight="1">
      <c r="C2778" s="244"/>
      <c r="D2778" s="26"/>
      <c r="E2778" s="26"/>
      <c r="F2778" s="26"/>
      <c r="G2778" s="26"/>
      <c r="H2778" s="5"/>
    </row>
    <row r="2779" spans="1:46">
      <c r="C2779" s="244"/>
      <c r="D2779" s="26"/>
      <c r="E2779" s="26"/>
      <c r="F2779" s="26"/>
      <c r="G2779" s="26"/>
      <c r="H2779" s="5"/>
    </row>
    <row r="2780" spans="1:46">
      <c r="C2780" s="244"/>
      <c r="D2780" s="26"/>
      <c r="E2780" s="26"/>
    </row>
    <row r="2781" spans="1:46">
      <c r="C2781" s="244"/>
      <c r="D2781" s="26"/>
      <c r="E2781" s="26"/>
    </row>
  </sheetData>
  <sheetProtection password="DB76" sheet="1" objects="1" scenarios="1" insertColumns="0" insertRows="0" deleteColumns="0"/>
  <mergeCells count="918">
    <mergeCell ref="D903:E903"/>
    <mergeCell ref="H903:I903"/>
    <mergeCell ref="T1120:W1120"/>
    <mergeCell ref="D1522:E1522"/>
    <mergeCell ref="B1446:C1446"/>
    <mergeCell ref="B1536:C1536"/>
    <mergeCell ref="B1069:C1069"/>
    <mergeCell ref="B1063:C1063"/>
    <mergeCell ref="B1065:C1065"/>
    <mergeCell ref="B1066:C1066"/>
    <mergeCell ref="B1067:C1067"/>
    <mergeCell ref="B1068:C1068"/>
    <mergeCell ref="B1059:C1059"/>
    <mergeCell ref="T1148:W1148"/>
    <mergeCell ref="B989:C989"/>
    <mergeCell ref="B1062:C1062"/>
    <mergeCell ref="B841:C841"/>
    <mergeCell ref="B990:C990"/>
    <mergeCell ref="B992:C992"/>
    <mergeCell ref="B987:C987"/>
    <mergeCell ref="B1057:C1057"/>
    <mergeCell ref="B1058:C1058"/>
    <mergeCell ref="B842:C842"/>
    <mergeCell ref="B844:C844"/>
    <mergeCell ref="T997:W997"/>
    <mergeCell ref="H1123:I1123"/>
    <mergeCell ref="F1122:G1122"/>
    <mergeCell ref="H1120:I1120"/>
    <mergeCell ref="J1123:K1123"/>
    <mergeCell ref="H1124:I1124"/>
    <mergeCell ref="H1047:I1047"/>
    <mergeCell ref="H974:I974"/>
    <mergeCell ref="J977:K977"/>
    <mergeCell ref="D1122:E1122"/>
    <mergeCell ref="D1124:E1124"/>
    <mergeCell ref="T1047:W1047"/>
    <mergeCell ref="J904:K904"/>
    <mergeCell ref="L686:M686"/>
    <mergeCell ref="B384:C384"/>
    <mergeCell ref="B682:C682"/>
    <mergeCell ref="B632:C632"/>
    <mergeCell ref="B584:B586"/>
    <mergeCell ref="H684:I684"/>
    <mergeCell ref="B829:C829"/>
    <mergeCell ref="B379:C379"/>
    <mergeCell ref="B601:C601"/>
    <mergeCell ref="B606:C606"/>
    <mergeCell ref="B383:C383"/>
    <mergeCell ref="B777:C777"/>
    <mergeCell ref="B778:C778"/>
    <mergeCell ref="B772:C772"/>
    <mergeCell ref="B424:C424"/>
    <mergeCell ref="B412:E412"/>
    <mergeCell ref="B414:B416"/>
    <mergeCell ref="D414:E414"/>
    <mergeCell ref="D415:E415"/>
    <mergeCell ref="D416:E416"/>
    <mergeCell ref="F585:G585"/>
    <mergeCell ref="D586:E586"/>
    <mergeCell ref="F586:G586"/>
    <mergeCell ref="H829:I829"/>
    <mergeCell ref="S161:W161"/>
    <mergeCell ref="S287:W287"/>
    <mergeCell ref="B364:E364"/>
    <mergeCell ref="S682:W682"/>
    <mergeCell ref="F165:G165"/>
    <mergeCell ref="T607:W607"/>
    <mergeCell ref="F636:G636"/>
    <mergeCell ref="F414:G414"/>
    <mergeCell ref="T188:W188"/>
    <mergeCell ref="F685:G685"/>
    <mergeCell ref="B695:C695"/>
    <mergeCell ref="B919:C919"/>
    <mergeCell ref="B920:C920"/>
    <mergeCell ref="D904:E904"/>
    <mergeCell ref="D684:E684"/>
    <mergeCell ref="F1123:G1123"/>
    <mergeCell ref="F1200:G1200"/>
    <mergeCell ref="D905:E905"/>
    <mergeCell ref="F905:G905"/>
    <mergeCell ref="B849:C849"/>
    <mergeCell ref="B914:C914"/>
    <mergeCell ref="D1049:E1049"/>
    <mergeCell ref="B923:C923"/>
    <mergeCell ref="B922:C922"/>
    <mergeCell ref="B918:C918"/>
    <mergeCell ref="B766:C766"/>
    <mergeCell ref="B776:C776"/>
    <mergeCell ref="B984:C984"/>
    <mergeCell ref="B831:B833"/>
    <mergeCell ref="B850:C850"/>
    <mergeCell ref="B917:C917"/>
    <mergeCell ref="B921:C921"/>
    <mergeCell ref="B912:C912"/>
    <mergeCell ref="D2771:E2771"/>
    <mergeCell ref="D2430:E2430"/>
    <mergeCell ref="F2637:G2637"/>
    <mergeCell ref="F2638:G2638"/>
    <mergeCell ref="B1900:C1900"/>
    <mergeCell ref="B1807:C1807"/>
    <mergeCell ref="B1827:C1827"/>
    <mergeCell ref="B1755:C1755"/>
    <mergeCell ref="B1753:C1753"/>
    <mergeCell ref="B1754:C1754"/>
    <mergeCell ref="C2581:C2582"/>
    <mergeCell ref="B2577:C2577"/>
    <mergeCell ref="E2301:K2301"/>
    <mergeCell ref="E2484:K2484"/>
    <mergeCell ref="H2289:K2289"/>
    <mergeCell ref="H2361:K2361"/>
    <mergeCell ref="D2713:E2713"/>
    <mergeCell ref="H2579:I2579"/>
    <mergeCell ref="B2769:C2769"/>
    <mergeCell ref="B2711:C2711"/>
    <mergeCell ref="B2168:C2168"/>
    <mergeCell ref="B1903:C1903"/>
    <mergeCell ref="B2235:C2235"/>
    <mergeCell ref="F2162:G2162"/>
    <mergeCell ref="B2635:C2635"/>
    <mergeCell ref="B106:C106"/>
    <mergeCell ref="E4:I4"/>
    <mergeCell ref="F7:G7"/>
    <mergeCell ref="B32:C32"/>
    <mergeCell ref="H2290:I2290"/>
    <mergeCell ref="D1810:E1810"/>
    <mergeCell ref="D1811:E1811"/>
    <mergeCell ref="F1888:G1888"/>
    <mergeCell ref="H2222:I2222"/>
    <mergeCell ref="F2096:G2096"/>
    <mergeCell ref="F2098:G2098"/>
    <mergeCell ref="D2162:E2162"/>
    <mergeCell ref="D1051:E1051"/>
    <mergeCell ref="B1340:C1340"/>
    <mergeCell ref="B1336:C1336"/>
    <mergeCell ref="H632:I632"/>
    <mergeCell ref="D634:E634"/>
    <mergeCell ref="F634:G634"/>
    <mergeCell ref="D635:E635"/>
    <mergeCell ref="F635:G635"/>
    <mergeCell ref="D636:E636"/>
    <mergeCell ref="B995:C995"/>
    <mergeCell ref="B1746:C1746"/>
    <mergeCell ref="D2638:E2638"/>
    <mergeCell ref="H2577:I2577"/>
    <mergeCell ref="F2029:G2029"/>
    <mergeCell ref="D2030:E2030"/>
    <mergeCell ref="F2030:G2030"/>
    <mergeCell ref="D1961:E1961"/>
    <mergeCell ref="E2427:K2427"/>
    <mergeCell ref="H2430:I2430"/>
    <mergeCell ref="D2429:G2429"/>
    <mergeCell ref="H2429:K2429"/>
    <mergeCell ref="F2163:G2163"/>
    <mergeCell ref="D2163:E2163"/>
    <mergeCell ref="E2219:K2219"/>
    <mergeCell ref="J2638:K2638"/>
    <mergeCell ref="D2579:E2579"/>
    <mergeCell ref="F2579:G2579"/>
    <mergeCell ref="H2635:I2635"/>
    <mergeCell ref="D2580:E2580"/>
    <mergeCell ref="D2637:E2637"/>
    <mergeCell ref="F2580:G2580"/>
    <mergeCell ref="J2580:K2580"/>
    <mergeCell ref="H2580:I2580"/>
    <mergeCell ref="H2637:I2637"/>
    <mergeCell ref="H2638:I2638"/>
    <mergeCell ref="E1:K1"/>
    <mergeCell ref="E2:K2"/>
    <mergeCell ref="D92:E92"/>
    <mergeCell ref="J684:K684"/>
    <mergeCell ref="J685:K685"/>
    <mergeCell ref="H905:I905"/>
    <mergeCell ref="H904:I904"/>
    <mergeCell ref="J903:K903"/>
    <mergeCell ref="J905:K905"/>
    <mergeCell ref="F291:G291"/>
    <mergeCell ref="D291:E291"/>
    <mergeCell ref="H165:I165"/>
    <mergeCell ref="F163:G163"/>
    <mergeCell ref="F164:G164"/>
    <mergeCell ref="F290:G290"/>
    <mergeCell ref="D163:E163"/>
    <mergeCell ref="D833:E833"/>
    <mergeCell ref="F833:G833"/>
    <mergeCell ref="D831:E831"/>
    <mergeCell ref="D12:E12"/>
    <mergeCell ref="F12:G12"/>
    <mergeCell ref="J831:K831"/>
    <mergeCell ref="H832:I832"/>
    <mergeCell ref="J832:K832"/>
    <mergeCell ref="B105:C105"/>
    <mergeCell ref="B101:C101"/>
    <mergeCell ref="H7:I7"/>
    <mergeCell ref="D14:E14"/>
    <mergeCell ref="B12:B14"/>
    <mergeCell ref="B25:C25"/>
    <mergeCell ref="B99:C99"/>
    <mergeCell ref="B35:C35"/>
    <mergeCell ref="B29:C29"/>
    <mergeCell ref="B102:C102"/>
    <mergeCell ref="B31:C31"/>
    <mergeCell ref="B103:C103"/>
    <mergeCell ref="F90:G90"/>
    <mergeCell ref="F91:G91"/>
    <mergeCell ref="F92:G92"/>
    <mergeCell ref="B100:C100"/>
    <mergeCell ref="D91:E91"/>
    <mergeCell ref="D90:E90"/>
    <mergeCell ref="B90:B92"/>
    <mergeCell ref="B98:C98"/>
    <mergeCell ref="V7:W7"/>
    <mergeCell ref="B88:C88"/>
    <mergeCell ref="B8:C8"/>
    <mergeCell ref="B7:C7"/>
    <mergeCell ref="B26:C26"/>
    <mergeCell ref="T7:U7"/>
    <mergeCell ref="J7:K7"/>
    <mergeCell ref="P7:Q7"/>
    <mergeCell ref="R7:S7"/>
    <mergeCell ref="B10:E10"/>
    <mergeCell ref="S88:W88"/>
    <mergeCell ref="S38:W38"/>
    <mergeCell ref="D7:E7"/>
    <mergeCell ref="B24:C24"/>
    <mergeCell ref="B33:C33"/>
    <mergeCell ref="B34:C34"/>
    <mergeCell ref="B37:C37"/>
    <mergeCell ref="N7:O7"/>
    <mergeCell ref="D13:E13"/>
    <mergeCell ref="B36:C36"/>
    <mergeCell ref="L7:M7"/>
    <mergeCell ref="F13:G13"/>
    <mergeCell ref="F14:G14"/>
    <mergeCell ref="L1123:M1123"/>
    <mergeCell ref="L1124:M1124"/>
    <mergeCell ref="H685:I685"/>
    <mergeCell ref="F684:G684"/>
    <mergeCell ref="D685:E685"/>
    <mergeCell ref="B846:C846"/>
    <mergeCell ref="B847:C847"/>
    <mergeCell ref="B848:C848"/>
    <mergeCell ref="B901:C901"/>
    <mergeCell ref="B911:C911"/>
    <mergeCell ref="B839:C839"/>
    <mergeCell ref="B840:C840"/>
    <mergeCell ref="B774:C774"/>
    <mergeCell ref="F904:G904"/>
    <mergeCell ref="B991:C991"/>
    <mergeCell ref="B994:C994"/>
    <mergeCell ref="B699:C699"/>
    <mergeCell ref="B773:C773"/>
    <mergeCell ref="B845:C845"/>
    <mergeCell ref="B693:C693"/>
    <mergeCell ref="B996:C996"/>
    <mergeCell ref="B993:C993"/>
    <mergeCell ref="B775:C775"/>
    <mergeCell ref="B696:C696"/>
    <mergeCell ref="B2427:C2427"/>
    <mergeCell ref="D2361:G2361"/>
    <mergeCell ref="F2362:G2362"/>
    <mergeCell ref="D2362:E2362"/>
    <mergeCell ref="B2308:C2308"/>
    <mergeCell ref="H2221:K2221"/>
    <mergeCell ref="J2222:K2222"/>
    <mergeCell ref="H1200:I1200"/>
    <mergeCell ref="J1522:K1522"/>
    <mergeCell ref="J1450:K1450"/>
    <mergeCell ref="J1325:K1325"/>
    <mergeCell ref="H1450:I1450"/>
    <mergeCell ref="H1446:I1446"/>
    <mergeCell ref="B1542:C1542"/>
    <mergeCell ref="B1532:C1532"/>
    <mergeCell ref="B1899:C1899"/>
    <mergeCell ref="B2160:C2160"/>
    <mergeCell ref="B2219:C2219"/>
    <mergeCell ref="B1748:C1748"/>
    <mergeCell ref="F1450:G1450"/>
    <mergeCell ref="F1521:G1521"/>
    <mergeCell ref="B1061:C1061"/>
    <mergeCell ref="D758:E758"/>
    <mergeCell ref="F758:G758"/>
    <mergeCell ref="B976:B978"/>
    <mergeCell ref="B694:C694"/>
    <mergeCell ref="B2376:C2376"/>
    <mergeCell ref="B2287:C2287"/>
    <mergeCell ref="B2236:C2236"/>
    <mergeCell ref="E2287:K2287"/>
    <mergeCell ref="D2221:G2221"/>
    <mergeCell ref="B769:C769"/>
    <mergeCell ref="B702:C702"/>
    <mergeCell ref="B1141:C1141"/>
    <mergeCell ref="B701:C701"/>
    <mergeCell ref="B703:C703"/>
    <mergeCell ref="F1124:G1124"/>
    <mergeCell ref="B915:C915"/>
    <mergeCell ref="B913:C913"/>
    <mergeCell ref="B903:B905"/>
    <mergeCell ref="D978:E978"/>
    <mergeCell ref="D977:E977"/>
    <mergeCell ref="B1049:B1051"/>
    <mergeCell ref="H833:I833"/>
    <mergeCell ref="D832:E832"/>
    <mergeCell ref="H2163:I2163"/>
    <mergeCell ref="H2162:I2162"/>
    <mergeCell ref="H2160:I2160"/>
    <mergeCell ref="J2162:K2162"/>
    <mergeCell ref="B767:C767"/>
    <mergeCell ref="F686:G686"/>
    <mergeCell ref="H1198:I1198"/>
    <mergeCell ref="J1124:K1124"/>
    <mergeCell ref="D976:E976"/>
    <mergeCell ref="H1049:I1049"/>
    <mergeCell ref="H1050:I1050"/>
    <mergeCell ref="B2104:C2104"/>
    <mergeCell ref="H1323:I1323"/>
    <mergeCell ref="H1327:I1327"/>
    <mergeCell ref="H1201:I1201"/>
    <mergeCell ref="B2096:B2098"/>
    <mergeCell ref="B1138:C1138"/>
    <mergeCell ref="D1050:E1050"/>
    <mergeCell ref="D1449:E1449"/>
    <mergeCell ref="J1200:K1200"/>
    <mergeCell ref="J1448:K1448"/>
    <mergeCell ref="D1523:E1523"/>
    <mergeCell ref="J1202:K1202"/>
    <mergeCell ref="D1886:E1886"/>
    <mergeCell ref="H415:I415"/>
    <mergeCell ref="F416:G416"/>
    <mergeCell ref="H416:I416"/>
    <mergeCell ref="T412:W412"/>
    <mergeCell ref="B2491:C2491"/>
    <mergeCell ref="J2579:K2579"/>
    <mergeCell ref="B2359:C2359"/>
    <mergeCell ref="E2359:K2359"/>
    <mergeCell ref="B1828:C1828"/>
    <mergeCell ref="B1904:C1904"/>
    <mergeCell ref="B1825:C1825"/>
    <mergeCell ref="B1832:C1832"/>
    <mergeCell ref="B1833:C1833"/>
    <mergeCell ref="B2251:C2251"/>
    <mergeCell ref="E2251:K2251"/>
    <mergeCell ref="D2253:G2253"/>
    <mergeCell ref="H2253:K2253"/>
    <mergeCell ref="D2254:E2254"/>
    <mergeCell ref="F2254:G2254"/>
    <mergeCell ref="H2254:I2254"/>
    <mergeCell ref="J2254:K2254"/>
    <mergeCell ref="B2450:C2450"/>
    <mergeCell ref="B1976:C1976"/>
    <mergeCell ref="B2094:C2094"/>
    <mergeCell ref="D759:E759"/>
    <mergeCell ref="F759:G759"/>
    <mergeCell ref="H759:I759"/>
    <mergeCell ref="J759:K759"/>
    <mergeCell ref="T779:W779"/>
    <mergeCell ref="T705:W705"/>
    <mergeCell ref="T656:W656"/>
    <mergeCell ref="S632:W632"/>
    <mergeCell ref="T425:W425"/>
    <mergeCell ref="H582:I582"/>
    <mergeCell ref="S582:W582"/>
    <mergeCell ref="D584:E584"/>
    <mergeCell ref="F584:G584"/>
    <mergeCell ref="D585:E585"/>
    <mergeCell ref="H682:I682"/>
    <mergeCell ref="L684:M684"/>
    <mergeCell ref="L685:M685"/>
    <mergeCell ref="T755:W755"/>
    <mergeCell ref="D757:E757"/>
    <mergeCell ref="F757:G757"/>
    <mergeCell ref="H757:I757"/>
    <mergeCell ref="J757:K757"/>
    <mergeCell ref="L757:M757"/>
    <mergeCell ref="D686:E686"/>
    <mergeCell ref="H831:I831"/>
    <mergeCell ref="F977:G977"/>
    <mergeCell ref="F978:G978"/>
    <mergeCell ref="T314:W314"/>
    <mergeCell ref="T386:W386"/>
    <mergeCell ref="J1050:K1050"/>
    <mergeCell ref="J976:K976"/>
    <mergeCell ref="H755:I755"/>
    <mergeCell ref="F832:G832"/>
    <mergeCell ref="H758:I758"/>
    <mergeCell ref="J833:K833"/>
    <mergeCell ref="F831:G831"/>
    <mergeCell ref="T829:W829"/>
    <mergeCell ref="J467:K467"/>
    <mergeCell ref="L467:M467"/>
    <mergeCell ref="T487:W487"/>
    <mergeCell ref="H510:I510"/>
    <mergeCell ref="S510:W510"/>
    <mergeCell ref="F512:G512"/>
    <mergeCell ref="F513:G513"/>
    <mergeCell ref="F514:G514"/>
    <mergeCell ref="T364:W364"/>
    <mergeCell ref="H414:I414"/>
    <mergeCell ref="F415:G415"/>
    <mergeCell ref="J1122:K1122"/>
    <mergeCell ref="T851:W851"/>
    <mergeCell ref="H978:I978"/>
    <mergeCell ref="J978:K978"/>
    <mergeCell ref="H976:I976"/>
    <mergeCell ref="F976:G976"/>
    <mergeCell ref="F1049:G1049"/>
    <mergeCell ref="H977:I977"/>
    <mergeCell ref="L903:M903"/>
    <mergeCell ref="L904:M904"/>
    <mergeCell ref="L905:M905"/>
    <mergeCell ref="T974:W974"/>
    <mergeCell ref="T1070:W1070"/>
    <mergeCell ref="F1051:G1051"/>
    <mergeCell ref="H1051:I1051"/>
    <mergeCell ref="J1051:K1051"/>
    <mergeCell ref="F1050:G1050"/>
    <mergeCell ref="T924:W924"/>
    <mergeCell ref="F903:G903"/>
    <mergeCell ref="L1122:M1122"/>
    <mergeCell ref="T901:W901"/>
    <mergeCell ref="T1323:W1323"/>
    <mergeCell ref="U1350:W1350"/>
    <mergeCell ref="U1469:W1469"/>
    <mergeCell ref="H1519:I1519"/>
    <mergeCell ref="H1521:I1521"/>
    <mergeCell ref="J1326:K1326"/>
    <mergeCell ref="J1327:K1327"/>
    <mergeCell ref="L1325:M1325"/>
    <mergeCell ref="L1326:M1326"/>
    <mergeCell ref="L1327:M1327"/>
    <mergeCell ref="T1446:W1446"/>
    <mergeCell ref="T1519:W1519"/>
    <mergeCell ref="T1977:W1977"/>
    <mergeCell ref="T1959:W1959"/>
    <mergeCell ref="P2221:S2221"/>
    <mergeCell ref="T2169:W2169"/>
    <mergeCell ref="T2110:W2110"/>
    <mergeCell ref="P2289:S2289"/>
    <mergeCell ref="T2160:W2160"/>
    <mergeCell ref="P2219:S2219"/>
    <mergeCell ref="J1521:K1521"/>
    <mergeCell ref="T1734:W1734"/>
    <mergeCell ref="T1834:W1834"/>
    <mergeCell ref="U1543:W1543"/>
    <mergeCell ref="L2251:O2251"/>
    <mergeCell ref="P2251:S2251"/>
    <mergeCell ref="L2253:O2253"/>
    <mergeCell ref="P2253:S2253"/>
    <mergeCell ref="L2254:M2254"/>
    <mergeCell ref="N2254:O2254"/>
    <mergeCell ref="P2254:Q2254"/>
    <mergeCell ref="L2029:M2029"/>
    <mergeCell ref="T2377:W2377"/>
    <mergeCell ref="R2254:S2254"/>
    <mergeCell ref="P2359:S2359"/>
    <mergeCell ref="T2359:W2359"/>
    <mergeCell ref="T2219:W2219"/>
    <mergeCell ref="J1201:K1201"/>
    <mergeCell ref="T2769:W2769"/>
    <mergeCell ref="T2237:W2237"/>
    <mergeCell ref="T2287:W2287"/>
    <mergeCell ref="T2309:W2309"/>
    <mergeCell ref="T2635:W2635"/>
    <mergeCell ref="T2711:W2711"/>
    <mergeCell ref="T2289:W2289"/>
    <mergeCell ref="T2661:W2661"/>
    <mergeCell ref="T2492:W2492"/>
    <mergeCell ref="T2577:W2577"/>
    <mergeCell ref="T2585:W2585"/>
    <mergeCell ref="T2719:W2719"/>
    <mergeCell ref="V2362:W2362"/>
    <mergeCell ref="V2430:W2430"/>
    <mergeCell ref="V2290:W2290"/>
    <mergeCell ref="T2290:U2290"/>
    <mergeCell ref="T2362:U2362"/>
    <mergeCell ref="T2251:W2251"/>
    <mergeCell ref="T2253:W2253"/>
    <mergeCell ref="T2451:W2451"/>
    <mergeCell ref="V2254:W2254"/>
    <mergeCell ref="T2254:U2254"/>
    <mergeCell ref="R2290:S2290"/>
    <mergeCell ref="D2031:E2031"/>
    <mergeCell ref="F2031:G2031"/>
    <mergeCell ref="B1972:C1972"/>
    <mergeCell ref="B1959:C1959"/>
    <mergeCell ref="D1736:I1736"/>
    <mergeCell ref="B2259:C2259"/>
    <mergeCell ref="P2290:Q2290"/>
    <mergeCell ref="H1202:I1202"/>
    <mergeCell ref="D1325:E1325"/>
    <mergeCell ref="F1327:G1327"/>
    <mergeCell ref="B1824:C1824"/>
    <mergeCell ref="B1977:C1977"/>
    <mergeCell ref="D2029:E2029"/>
    <mergeCell ref="B1907:C1907"/>
    <mergeCell ref="D1887:E1887"/>
    <mergeCell ref="B1902:C1902"/>
    <mergeCell ref="B2108:C2108"/>
    <mergeCell ref="H1886:I1886"/>
    <mergeCell ref="D1448:E1448"/>
    <mergeCell ref="J2163:K2163"/>
    <mergeCell ref="B1745:C1745"/>
    <mergeCell ref="B1533:C1533"/>
    <mergeCell ref="B1347:C1347"/>
    <mergeCell ref="B1457:C1457"/>
    <mergeCell ref="P2430:Q2430"/>
    <mergeCell ref="R2430:S2430"/>
    <mergeCell ref="P2427:S2427"/>
    <mergeCell ref="T2427:W2427"/>
    <mergeCell ref="T2430:U2430"/>
    <mergeCell ref="T2221:W2221"/>
    <mergeCell ref="T2222:U2222"/>
    <mergeCell ref="V2222:W2222"/>
    <mergeCell ref="D2096:E2096"/>
    <mergeCell ref="D2098:E2098"/>
    <mergeCell ref="D2097:E2097"/>
    <mergeCell ref="D2290:E2290"/>
    <mergeCell ref="D2289:G2289"/>
    <mergeCell ref="D2222:E2222"/>
    <mergeCell ref="F2097:G2097"/>
    <mergeCell ref="P2287:S2287"/>
    <mergeCell ref="P2429:S2429"/>
    <mergeCell ref="T2429:W2429"/>
    <mergeCell ref="T2361:W2361"/>
    <mergeCell ref="P2362:Q2362"/>
    <mergeCell ref="H2362:I2362"/>
    <mergeCell ref="J2290:K2290"/>
    <mergeCell ref="R2222:S2222"/>
    <mergeCell ref="P2222:Q2222"/>
    <mergeCell ref="J2362:K2362"/>
    <mergeCell ref="P2361:S2361"/>
    <mergeCell ref="N2362:O2362"/>
    <mergeCell ref="R2362:S2362"/>
    <mergeCell ref="B1975:C1975"/>
    <mergeCell ref="F1887:G1887"/>
    <mergeCell ref="J1888:K1888"/>
    <mergeCell ref="S2027:W2027"/>
    <mergeCell ref="T2044:W2044"/>
    <mergeCell ref="B2040:C2040"/>
    <mergeCell ref="H2029:I2029"/>
    <mergeCell ref="J2029:K2029"/>
    <mergeCell ref="H2030:I2030"/>
    <mergeCell ref="J2030:K2030"/>
    <mergeCell ref="H2031:I2031"/>
    <mergeCell ref="J2031:K2031"/>
    <mergeCell ref="B2029:B2031"/>
    <mergeCell ref="B2042:C2042"/>
    <mergeCell ref="B2041:C2041"/>
    <mergeCell ref="B1974:C1974"/>
    <mergeCell ref="B2162:B2163"/>
    <mergeCell ref="B2107:C2107"/>
    <mergeCell ref="B1973:C1973"/>
    <mergeCell ref="B2043:C2043"/>
    <mergeCell ref="T1909:W1909"/>
    <mergeCell ref="S2094:W2094"/>
    <mergeCell ref="F2222:G2222"/>
    <mergeCell ref="F2290:G2290"/>
    <mergeCell ref="B1809:B1811"/>
    <mergeCell ref="B1829:C1829"/>
    <mergeCell ref="B1752:C1752"/>
    <mergeCell ref="B1747:C1747"/>
    <mergeCell ref="B1884:C1884"/>
    <mergeCell ref="B1822:C1822"/>
    <mergeCell ref="B1826:C1826"/>
    <mergeCell ref="B1751:C1751"/>
    <mergeCell ref="B1908:C1908"/>
    <mergeCell ref="B1750:C1750"/>
    <mergeCell ref="B1749:C1749"/>
    <mergeCell ref="B1823:C1823"/>
    <mergeCell ref="D1888:E1888"/>
    <mergeCell ref="B1905:C1905"/>
    <mergeCell ref="B1906:C1906"/>
    <mergeCell ref="T1884:W1884"/>
    <mergeCell ref="B1961:B1963"/>
    <mergeCell ref="D1962:E1962"/>
    <mergeCell ref="D1963:E1963"/>
    <mergeCell ref="B1901:C1901"/>
    <mergeCell ref="H1326:I1326"/>
    <mergeCell ref="J1449:K1449"/>
    <mergeCell ref="H1325:I1325"/>
    <mergeCell ref="L1448:M1448"/>
    <mergeCell ref="L1449:M1449"/>
    <mergeCell ref="B1338:C1338"/>
    <mergeCell ref="B1886:B1888"/>
    <mergeCell ref="J1811:K1811"/>
    <mergeCell ref="T1807:W1807"/>
    <mergeCell ref="U1757:W1757"/>
    <mergeCell ref="B1831:C1831"/>
    <mergeCell ref="B1756:C1756"/>
    <mergeCell ref="B1830:C1830"/>
    <mergeCell ref="D1809:E1809"/>
    <mergeCell ref="B1534:C1534"/>
    <mergeCell ref="B1538:C1538"/>
    <mergeCell ref="H1887:I1887"/>
    <mergeCell ref="H1888:I1888"/>
    <mergeCell ref="F1522:G1522"/>
    <mergeCell ref="F1886:G1886"/>
    <mergeCell ref="H1738:I1738"/>
    <mergeCell ref="F1326:G1326"/>
    <mergeCell ref="H1811:I1811"/>
    <mergeCell ref="B1459:C1459"/>
    <mergeCell ref="B1535:C1535"/>
    <mergeCell ref="B1464:C1464"/>
    <mergeCell ref="B1465:C1465"/>
    <mergeCell ref="B1466:C1466"/>
    <mergeCell ref="B1530:C1530"/>
    <mergeCell ref="B1467:C1467"/>
    <mergeCell ref="B1468:C1468"/>
    <mergeCell ref="B1519:C1519"/>
    <mergeCell ref="B1521:B1523"/>
    <mergeCell ref="F1811:G1811"/>
    <mergeCell ref="D1737:I1737"/>
    <mergeCell ref="F1738:G1738"/>
    <mergeCell ref="J1809:K1809"/>
    <mergeCell ref="J1810:K1810"/>
    <mergeCell ref="F1810:G1810"/>
    <mergeCell ref="F1809:G1809"/>
    <mergeCell ref="B1736:B1738"/>
    <mergeCell ref="H1810:I1810"/>
    <mergeCell ref="B1134:C1134"/>
    <mergeCell ref="B1145:C1145"/>
    <mergeCell ref="B1146:C1146"/>
    <mergeCell ref="B1135:C1135"/>
    <mergeCell ref="B1200:B1202"/>
    <mergeCell ref="B1137:C1137"/>
    <mergeCell ref="B1220:C1220"/>
    <mergeCell ref="B1456:C1456"/>
    <mergeCell ref="B1341:C1341"/>
    <mergeCell ref="B1323:C1323"/>
    <mergeCell ref="B1339:C1339"/>
    <mergeCell ref="B1337:C1337"/>
    <mergeCell ref="B1325:B1327"/>
    <mergeCell ref="B1448:B1450"/>
    <mergeCell ref="B1349:C1349"/>
    <mergeCell ref="B1344:C1344"/>
    <mergeCell ref="B1346:C1346"/>
    <mergeCell ref="D1202:E1202"/>
    <mergeCell ref="T1226:W1226"/>
    <mergeCell ref="F1523:G1523"/>
    <mergeCell ref="J1738:K1738"/>
    <mergeCell ref="H1523:I1523"/>
    <mergeCell ref="L1450:M1450"/>
    <mergeCell ref="B1342:C1342"/>
    <mergeCell ref="B1461:C1461"/>
    <mergeCell ref="D1450:E1450"/>
    <mergeCell ref="D1521:E1521"/>
    <mergeCell ref="B1531:C1531"/>
    <mergeCell ref="B1460:C1460"/>
    <mergeCell ref="B1462:C1462"/>
    <mergeCell ref="B1539:C1539"/>
    <mergeCell ref="B1540:C1540"/>
    <mergeCell ref="B1541:C1541"/>
    <mergeCell ref="F1448:G1448"/>
    <mergeCell ref="H1448:I1448"/>
    <mergeCell ref="F1449:G1449"/>
    <mergeCell ref="H1449:I1449"/>
    <mergeCell ref="D1326:E1326"/>
    <mergeCell ref="H1522:I1522"/>
    <mergeCell ref="D1327:E1327"/>
    <mergeCell ref="F1325:G1325"/>
    <mergeCell ref="B768:C768"/>
    <mergeCell ref="B770:C770"/>
    <mergeCell ref="B974:C974"/>
    <mergeCell ref="B1734:C1734"/>
    <mergeCell ref="D1738:E1738"/>
    <mergeCell ref="B1060:C1060"/>
    <mergeCell ref="B1064:C1064"/>
    <mergeCell ref="B1122:B1124"/>
    <mergeCell ref="D1123:E1123"/>
    <mergeCell ref="B1223:C1223"/>
    <mergeCell ref="B1219:C1219"/>
    <mergeCell ref="B1216:C1216"/>
    <mergeCell ref="B1221:C1221"/>
    <mergeCell ref="B1217:C1217"/>
    <mergeCell ref="D1201:E1201"/>
    <mergeCell ref="D1200:E1200"/>
    <mergeCell ref="B1224:C1224"/>
    <mergeCell ref="B1215:C1215"/>
    <mergeCell ref="B1140:C1140"/>
    <mergeCell ref="B1225:C1225"/>
    <mergeCell ref="B1222:C1222"/>
    <mergeCell ref="B1120:C1120"/>
    <mergeCell ref="B1198:C1198"/>
    <mergeCell ref="B1213:C1213"/>
    <mergeCell ref="B704:C704"/>
    <mergeCell ref="B377:C377"/>
    <mergeCell ref="B599:C599"/>
    <mergeCell ref="B697:C697"/>
    <mergeCell ref="B422:C422"/>
    <mergeCell ref="B653:C653"/>
    <mergeCell ref="B648:C648"/>
    <mergeCell ref="D512:E512"/>
    <mergeCell ref="D513:E513"/>
    <mergeCell ref="D514:E514"/>
    <mergeCell ref="B649:C649"/>
    <mergeCell ref="B650:C650"/>
    <mergeCell ref="B651:C651"/>
    <mergeCell ref="B652:C652"/>
    <mergeCell ref="B634:B636"/>
    <mergeCell ref="B684:B686"/>
    <mergeCell ref="B654:C654"/>
    <mergeCell ref="B655:C655"/>
    <mergeCell ref="B644:C644"/>
    <mergeCell ref="B645:C645"/>
    <mergeCell ref="B646:C646"/>
    <mergeCell ref="F1202:G1202"/>
    <mergeCell ref="B1343:C1343"/>
    <mergeCell ref="B1345:C1345"/>
    <mergeCell ref="F1201:G1201"/>
    <mergeCell ref="B1463:C1463"/>
    <mergeCell ref="B1537:C1537"/>
    <mergeCell ref="B1458:C1458"/>
    <mergeCell ref="B1348:C1348"/>
    <mergeCell ref="B771:C771"/>
    <mergeCell ref="B843:C843"/>
    <mergeCell ref="B916:C916"/>
    <mergeCell ref="B1139:C1139"/>
    <mergeCell ref="B1142:C1142"/>
    <mergeCell ref="B1147:C1147"/>
    <mergeCell ref="B1136:C1136"/>
    <mergeCell ref="B985:C985"/>
    <mergeCell ref="B986:C986"/>
    <mergeCell ref="B988:C988"/>
    <mergeCell ref="B1143:C1143"/>
    <mergeCell ref="B1144:C1144"/>
    <mergeCell ref="B1212:C1212"/>
    <mergeCell ref="B1214:C1214"/>
    <mergeCell ref="B1047:C1047"/>
    <mergeCell ref="B1218:C1218"/>
    <mergeCell ref="B757:B759"/>
    <mergeCell ref="B755:C755"/>
    <mergeCell ref="B385:C385"/>
    <mergeCell ref="B373:C373"/>
    <mergeCell ref="B582:C582"/>
    <mergeCell ref="B595:C595"/>
    <mergeCell ref="B596:C596"/>
    <mergeCell ref="B597:C597"/>
    <mergeCell ref="B598:C598"/>
    <mergeCell ref="B600:C600"/>
    <mergeCell ref="B602:C602"/>
    <mergeCell ref="B603:C603"/>
    <mergeCell ref="B604:C604"/>
    <mergeCell ref="B605:C605"/>
    <mergeCell ref="B528:C528"/>
    <mergeCell ref="B529:C529"/>
    <mergeCell ref="B530:C530"/>
    <mergeCell ref="B531:C531"/>
    <mergeCell ref="B532:C532"/>
    <mergeCell ref="B533:C533"/>
    <mergeCell ref="B647:C647"/>
    <mergeCell ref="B423:C423"/>
    <mergeCell ref="B376:C376"/>
    <mergeCell ref="B375:C375"/>
    <mergeCell ref="B289:B291"/>
    <mergeCell ref="B179:C179"/>
    <mergeCell ref="B110:C110"/>
    <mergeCell ref="B183:C183"/>
    <mergeCell ref="B175:C175"/>
    <mergeCell ref="B374:C374"/>
    <mergeCell ref="B161:E161"/>
    <mergeCell ref="B301:C301"/>
    <mergeCell ref="B300:C300"/>
    <mergeCell ref="B302:C302"/>
    <mergeCell ref="B304:C304"/>
    <mergeCell ref="B303:C303"/>
    <mergeCell ref="B307:C307"/>
    <mergeCell ref="B305:C305"/>
    <mergeCell ref="B366:B368"/>
    <mergeCell ref="B308:C308"/>
    <mergeCell ref="D289:E289"/>
    <mergeCell ref="B306:C306"/>
    <mergeCell ref="D366:E366"/>
    <mergeCell ref="D367:E367"/>
    <mergeCell ref="D368:E368"/>
    <mergeCell ref="B109:C109"/>
    <mergeCell ref="B178:C178"/>
    <mergeCell ref="B180:C180"/>
    <mergeCell ref="B163:B165"/>
    <mergeCell ref="B187:C187"/>
    <mergeCell ref="D165:E165"/>
    <mergeCell ref="D164:E164"/>
    <mergeCell ref="B287:C287"/>
    <mergeCell ref="B177:C177"/>
    <mergeCell ref="B182:C182"/>
    <mergeCell ref="B184:C184"/>
    <mergeCell ref="B185:C185"/>
    <mergeCell ref="B174:C174"/>
    <mergeCell ref="B186:C186"/>
    <mergeCell ref="B176:C176"/>
    <mergeCell ref="L2638:M2638"/>
    <mergeCell ref="H289:I289"/>
    <mergeCell ref="H290:I290"/>
    <mergeCell ref="H291:I291"/>
    <mergeCell ref="J1523:K1523"/>
    <mergeCell ref="J1049:K1049"/>
    <mergeCell ref="L758:M758"/>
    <mergeCell ref="H1809:I1809"/>
    <mergeCell ref="J758:K758"/>
    <mergeCell ref="H901:I901"/>
    <mergeCell ref="J2637:K2637"/>
    <mergeCell ref="J1886:K1886"/>
    <mergeCell ref="J1887:K1887"/>
    <mergeCell ref="J686:K686"/>
    <mergeCell ref="H686:I686"/>
    <mergeCell ref="L2579:M2579"/>
    <mergeCell ref="L759:M759"/>
    <mergeCell ref="L831:M831"/>
    <mergeCell ref="L832:M832"/>
    <mergeCell ref="L833:M833"/>
    <mergeCell ref="H1122:I1122"/>
    <mergeCell ref="L2580:M2580"/>
    <mergeCell ref="L2637:M2637"/>
    <mergeCell ref="L2430:M2430"/>
    <mergeCell ref="E2443:K2443"/>
    <mergeCell ref="F289:G289"/>
    <mergeCell ref="D290:E290"/>
    <mergeCell ref="L1200:M1200"/>
    <mergeCell ref="N2430:O2430"/>
    <mergeCell ref="L2030:M2030"/>
    <mergeCell ref="L2031:M2031"/>
    <mergeCell ref="L2162:M2162"/>
    <mergeCell ref="L2359:O2359"/>
    <mergeCell ref="L2361:O2361"/>
    <mergeCell ref="L2362:M2362"/>
    <mergeCell ref="L2163:M2163"/>
    <mergeCell ref="L2219:O2219"/>
    <mergeCell ref="L2221:O2221"/>
    <mergeCell ref="L2289:O2289"/>
    <mergeCell ref="L2290:M2290"/>
    <mergeCell ref="N2290:O2290"/>
    <mergeCell ref="L2222:M2222"/>
    <mergeCell ref="N2222:O2222"/>
    <mergeCell ref="L2287:O2287"/>
    <mergeCell ref="L2427:O2427"/>
    <mergeCell ref="L2429:O2429"/>
    <mergeCell ref="L1201:M1201"/>
    <mergeCell ref="L1202:M1202"/>
    <mergeCell ref="B2027:C2027"/>
    <mergeCell ref="B309:C309"/>
    <mergeCell ref="B310:C310"/>
    <mergeCell ref="B312:C312"/>
    <mergeCell ref="B313:C313"/>
    <mergeCell ref="B311:C311"/>
    <mergeCell ref="B378:C378"/>
    <mergeCell ref="B380:C380"/>
    <mergeCell ref="B381:C381"/>
    <mergeCell ref="B382:C382"/>
    <mergeCell ref="B484:C484"/>
    <mergeCell ref="B485:C485"/>
    <mergeCell ref="B475:C475"/>
    <mergeCell ref="B476:C476"/>
    <mergeCell ref="B510:C510"/>
    <mergeCell ref="B512:B514"/>
    <mergeCell ref="B522:C522"/>
    <mergeCell ref="B523:C523"/>
    <mergeCell ref="B524:C524"/>
    <mergeCell ref="B525:C525"/>
    <mergeCell ref="B526:C526"/>
    <mergeCell ref="B527:C527"/>
    <mergeCell ref="B698:C698"/>
    <mergeCell ref="B700:C700"/>
    <mergeCell ref="B107:C107"/>
    <mergeCell ref="B27:C27"/>
    <mergeCell ref="B30:C30"/>
    <mergeCell ref="B28:C28"/>
    <mergeCell ref="B463:C463"/>
    <mergeCell ref="H463:I463"/>
    <mergeCell ref="B486:C486"/>
    <mergeCell ref="B108:C108"/>
    <mergeCell ref="D2472:E2472"/>
    <mergeCell ref="H2472:I2472"/>
    <mergeCell ref="B465:B467"/>
    <mergeCell ref="D465:E465"/>
    <mergeCell ref="F465:G465"/>
    <mergeCell ref="D466:E466"/>
    <mergeCell ref="F466:G466"/>
    <mergeCell ref="D467:E467"/>
    <mergeCell ref="F467:G467"/>
    <mergeCell ref="B477:C477"/>
    <mergeCell ref="B478:C478"/>
    <mergeCell ref="B479:C479"/>
    <mergeCell ref="B480:C480"/>
    <mergeCell ref="B481:C481"/>
    <mergeCell ref="B482:C482"/>
    <mergeCell ref="B483:C483"/>
    <mergeCell ref="L2472:M2472"/>
    <mergeCell ref="N2472:O2472"/>
    <mergeCell ref="B2469:C2469"/>
    <mergeCell ref="E2469:K2469"/>
    <mergeCell ref="L2469:O2469"/>
    <mergeCell ref="P2469:S2469"/>
    <mergeCell ref="T2469:W2469"/>
    <mergeCell ref="D2471:G2471"/>
    <mergeCell ref="H2471:K2471"/>
    <mergeCell ref="L2471:O2471"/>
    <mergeCell ref="S111:W111"/>
    <mergeCell ref="H2096:I2096"/>
    <mergeCell ref="H2097:I2097"/>
    <mergeCell ref="H2098:I2098"/>
    <mergeCell ref="L1521:M1521"/>
    <mergeCell ref="L1522:M1522"/>
    <mergeCell ref="L1523:M1523"/>
    <mergeCell ref="L976:M976"/>
    <mergeCell ref="L977:M977"/>
    <mergeCell ref="L978:M978"/>
    <mergeCell ref="L1049:M1049"/>
    <mergeCell ref="L1050:M1050"/>
    <mergeCell ref="L1051:M1051"/>
    <mergeCell ref="H163:I163"/>
    <mergeCell ref="H164:I164"/>
    <mergeCell ref="T1198:W1198"/>
    <mergeCell ref="S463:W463"/>
    <mergeCell ref="H465:I465"/>
    <mergeCell ref="J465:K465"/>
    <mergeCell ref="L465:M465"/>
    <mergeCell ref="H466:I466"/>
    <mergeCell ref="J466:K466"/>
    <mergeCell ref="L466:M466"/>
    <mergeCell ref="H467:I467"/>
  </mergeCells>
  <phoneticPr fontId="5" type="noConversion"/>
  <dataValidations count="1">
    <dataValidation type="list" allowBlank="1" showInputMessage="1" showErrorMessage="1" sqref="W5">
      <formula1>vat</formula1>
    </dataValidation>
  </dataValidations>
  <hyperlinks>
    <hyperlink ref="B7:C7" location="MENU" display="НА ГЛАВНУЮ"/>
    <hyperlink ref="T2287" location="Frame_Premi" display="Frame_Premi"/>
    <hyperlink ref="T2309" location="Framugi" display="Framugi"/>
    <hyperlink ref="S88" location="Door_Standard" display="Door_Standard"/>
    <hyperlink ref="S161" location="Door_RutaF" display="Door_RutaF"/>
    <hyperlink ref="S682" location="Door_Idea_line" display="Door_Idea_line"/>
    <hyperlink ref="T1120" location="Door_Lada" display="Door_Lada"/>
    <hyperlink ref="T1198" location="Door_LadaK" display="Door_LadaK"/>
    <hyperlink ref="T1807" location="Door_Lineya" display="Door_Lineya"/>
    <hyperlink ref="T1884" location="Door_Line" display="Door_Line"/>
    <hyperlink ref="T1959" location="Door_Elegant" display="Door_Elegant"/>
    <hyperlink ref="S2094" location="Door_VertoEleg" display="Door_VertoEleg"/>
    <hyperlink ref="T2219" location="Verto_Slide" display="Verto_Slide"/>
    <hyperlink ref="T2160" location="Door_Dobor" display="Door_Dobor"/>
    <hyperlink ref="T2635" location="Frame_VFit" display="Frame_VFit"/>
    <hyperlink ref="T2169" location="Framugi" display="Framugi"/>
    <hyperlink ref="T2169:W2169" location="Frame_Stand" display="Frame_Stand"/>
    <hyperlink ref="T188:W188" location="Door_Idea" display="Door_Idea"/>
    <hyperlink ref="T314:W314" location="Door_IdeaLoft" display="Door_IdeaLoft"/>
    <hyperlink ref="T705:W705" location="Door_LadaB" display="Door_LadaB"/>
    <hyperlink ref="T1148:W1148" location="Door_LadaN" display="Door_LadaN"/>
    <hyperlink ref="U1757:X1757" location="Door_Line" display="Door_Line"/>
    <hyperlink ref="T1834:W1834" location="Door_Elegant" display="Door_Elegant"/>
    <hyperlink ref="T1909:W1909" location="Door_Glasford" display="Door_Glasford"/>
    <hyperlink ref="T2110:W2110" location="Verto_Slide" display="Verto_Slide"/>
    <hyperlink ref="T1977:W1977" location="Door_Dobor_Lada" display="Door_Dobor_Lada"/>
    <hyperlink ref="S2094:W2094" location="Door_Dobor_Lada" display="Door_Dobor_Lada"/>
    <hyperlink ref="E1747" location="Door_Lineya" display="Door_Lineya"/>
    <hyperlink ref="T2237:W2237" location="Frame_VFit" display="Frame_VFit"/>
    <hyperlink ref="T2711:W2711" location="Framugi" display="Framugi"/>
    <hyperlink ref="T2719" location="Framugi" display="Framugi"/>
    <hyperlink ref="T2719:W2719" location="Furniture" display="Furniture"/>
    <hyperlink ref="T2661:W2661" location="DoorHandles" display="DoorHandles"/>
    <hyperlink ref="T2769:W2769" location="DoorHandles" display="DoorHandles"/>
    <hyperlink ref="E36" location="DoorHandles" display="см. Таблицу Ручки"/>
    <hyperlink ref="E109" location="DoorHandles" display="см. Таблицу Ручки"/>
    <hyperlink ref="E186" location="DoorHandles" display="см. Таблицу Ручки"/>
    <hyperlink ref="E312" location="DoorHandles" display="см. Таблицу Ручки"/>
    <hyperlink ref="E704" location="DoorHandles" display="см. Таблицу Ручки"/>
    <hyperlink ref="E1147" location="DoorHandles" display="см. Таблицу Ручки"/>
    <hyperlink ref="E1225" location="DoorHandles" display="см. Таблицу Ручки"/>
    <hyperlink ref="E1755" location="DoorHandles" display="DoorHandles"/>
    <hyperlink ref="E1832" location="DoorHandles" display="см. Таблицу Ручки"/>
    <hyperlink ref="E1908" location="DoorHandles" display="см. Таблицу Ручки"/>
    <hyperlink ref="E1746" location="Door_Lineya" display="Door_Lineya"/>
    <hyperlink ref="T2359" location="Frame_Premi" display="Frame_Premi"/>
    <hyperlink ref="T2377" location="Framugi" display="Framugi"/>
    <hyperlink ref="T2635:W2635" location="Plinths" display="Plinths"/>
    <hyperlink ref="T2359:W2359" location="Frame_VFit" display="Frame_VFit"/>
    <hyperlink ref="T2309:W2309" location="Frame_VFitPlus" display="Frame_VFitPlus"/>
    <hyperlink ref="T2427" location="Frame_Premi" display="Frame_Premi"/>
    <hyperlink ref="T2492" location="Framugi" display="Framugi"/>
    <hyperlink ref="T2427:W2427" location="Frame_VFitPlus" display="Frame_VFitPlus"/>
    <hyperlink ref="T2377:W2377" location="Frame_VFitComfort" display="Frame_VFitComfort"/>
    <hyperlink ref="E1349" location="DoorHandles" display="см. Таблицу Ручки"/>
    <hyperlink ref="T2287:W2287" location="Frame_Stand" display="Frame_Stand"/>
    <hyperlink ref="T2577" location="Frame_Premi" display="Frame_Premi"/>
    <hyperlink ref="T2577:W2577" location="Frame_VFitComfort" display="Frame_VFitComfort"/>
    <hyperlink ref="T2492:W2492" location="Plinths" display="Plinths"/>
    <hyperlink ref="T2585" location="Framugi" display="Framugi"/>
    <hyperlink ref="T2585:W2585" location="Framugi" display="Framugi"/>
    <hyperlink ref="T901" location="Door_Idea_line" display="Door_Idea_line"/>
    <hyperlink ref="T924:W924" location="Door_Nika" display="Door_Nika"/>
    <hyperlink ref="E923" location="DoorHandles" display="см. Таблицу Ручки"/>
    <hyperlink ref="T901:W901" location="Door_LadaC" display="Door_LadaC"/>
    <hyperlink ref="T755" location="Door_Idea_line" display="Door_Idea_line"/>
    <hyperlink ref="T779:W779" location="Door_LadaC" display="Door_LadaC"/>
    <hyperlink ref="E778" location="DoorHandles" display="см. Таблицу Ручки"/>
    <hyperlink ref="T755:W755" location="Door_LadaA" display="Door_LadaA"/>
    <hyperlink ref="T829" location="Door_Idea_line" display="Door_Idea_line"/>
    <hyperlink ref="T851:W851" location="Door_LadaD" display="Door_LadaD"/>
    <hyperlink ref="E850" location="DoorHandles" display="см. Таблицу Ручки"/>
    <hyperlink ref="T829:W829" location="Door_LadaB" display="Door_LadaB"/>
    <hyperlink ref="T974" location="Door_Idea_line" display="Door_Idea_line"/>
    <hyperlink ref="T997:W997" location="Door_Lisa" display="Door_Lisa"/>
    <hyperlink ref="E996" location="DoorHandles" display="см. Таблицу Ручки"/>
    <hyperlink ref="T974:W974" location="Door_LadaC" display="Door_LadaC"/>
    <hyperlink ref="T1047" location="Door_Idea_line" display="Door_Idea_line"/>
    <hyperlink ref="T1070:W1070" location="Door_LadaK" display="Door_LadaK"/>
    <hyperlink ref="E1069" location="DoorHandles" display="см. Таблицу Ручки"/>
    <hyperlink ref="T1047:W1047" location="Door_LadaC" display="Door_LadaC"/>
    <hyperlink ref="T1120:W1120" location="Door_Lisa" display="Door_Lisa"/>
    <hyperlink ref="U1469:X1469" location="Door_Eva" display="Door_Eva"/>
    <hyperlink ref="E1468" location="DoorHandles" display="см. Таблицу Ручки"/>
    <hyperlink ref="T1519" location="Door_Idea_line" display="Door_Idea_line"/>
    <hyperlink ref="E1542" location="DoorHandles" display="см. Таблицу Ручки"/>
    <hyperlink ref="T1519:W1519" location="Door_Tiana" display="Door_Tiana"/>
    <hyperlink ref="S2027" location="Door_VertoEleg" display="Door_VertoEleg"/>
    <hyperlink ref="S2027:W2027" location="Door_Glasford" display="Door_Glasford"/>
    <hyperlink ref="T2044:W2044" location="Door_Dobor" display="Door_Dobor"/>
    <hyperlink ref="T364" location="Door_Gordana" display="Door_Gordana"/>
    <hyperlink ref="T386:W386" location="Door_LadaA" display="Door_LadaA"/>
    <hyperlink ref="E384" location="DoorHandles" display="см. Таблицу Ручки"/>
    <hyperlink ref="T364:W364" location="Door_Idea" display="Door_Idea"/>
    <hyperlink ref="O88" location="Door_Standard" display="Door_Standard"/>
    <hyperlink ref="O161" location="Door_RutaF" display="Door_RutaF"/>
    <hyperlink ref="O287" location="Door_Gordana" display="Door_Gordana"/>
    <hyperlink ref="O682" location="Door_Idea_line" display="Door_Idea_line"/>
    <hyperlink ref="O2094" location="Door_Dobor_Lada" display="Door_Dobor_Lada"/>
    <hyperlink ref="O2027" location="Door_Glasford" display="Door_Glasford"/>
    <hyperlink ref="S287" location="Door_RutaF" display="Door_RutaF"/>
    <hyperlink ref="S582" location="Door_Idea_line" display="Door_Idea_line"/>
    <hyperlink ref="T607:W607" location="Door_LadaB" display="Door_LadaB"/>
    <hyperlink ref="E606" location="DoorHandles" display="см. Таблицу Ручки"/>
    <hyperlink ref="O582" location="Door_Idea_line" display="Door_Idea_line"/>
    <hyperlink ref="T2469" location="Frame_Premi" display="Frame_Premi"/>
    <hyperlink ref="T2469:W2469" location="Frame_VFitPlus" display="Frame_VFitPlus"/>
    <hyperlink ref="T2451" location="Framugi" display="Framugi"/>
    <hyperlink ref="T2451:W2451" location="Plinths" display="Plinths"/>
    <hyperlink ref="S632" location="Door_Idea_line" display="Door_Idea_line"/>
    <hyperlink ref="E655" location="DoorHandles" display="см. Таблицу Ручки"/>
    <hyperlink ref="O632" location="Door_Idea_line" display="Door_Idea_line"/>
    <hyperlink ref="T412" location="Door_Gordana" display="Door_Gordana"/>
    <hyperlink ref="T425:W425" location="Door_LadaA" display="Door_LadaA"/>
    <hyperlink ref="E424" location="DoorHandles" display="см. Таблицу Ручки"/>
    <hyperlink ref="T412:W412" location="Door_Idea" display="Door_Idea"/>
    <hyperlink ref="T2251" location="Verto_Slide" display="Verto_Slide"/>
    <hyperlink ref="T487:W487" location="Door_LadaB" display="Door_LadaB"/>
    <hyperlink ref="S510" location="Door_Idea_line" display="Door_Idea_line"/>
    <hyperlink ref="E533" location="DoorHandles" display="см. Таблицу Ручки"/>
    <hyperlink ref="O510" location="Door_Idea_line" display="Door_Idea_line"/>
    <hyperlink ref="S463" location="Door_Idea_line" display="Door_Idea_line"/>
    <hyperlink ref="E486" location="DoorHandles" display="см. Таблицу Ручки"/>
    <hyperlink ref="O463" location="Door_Idea_line" display="Door_Idea_line"/>
  </hyperlinks>
  <pageMargins left="0.23622047244094491" right="0.27559055118110237" top="0.27559055118110237" bottom="0.31496062992125984" header="0.27559055118110237" footer="0.31496062992125984"/>
  <pageSetup paperSize="9" scale="86" fitToHeight="50" orientation="landscape" r:id="rId1"/>
  <headerFooter alignWithMargins="0"/>
  <rowBreaks count="18" manualBreakCount="18">
    <brk id="87" max="18" man="1"/>
    <brk id="160" max="18" man="1"/>
    <brk id="286" max="18" man="1"/>
    <brk id="681" max="18" man="1"/>
    <brk id="1119" max="18" man="1"/>
    <brk id="1197" max="18" man="1"/>
    <brk id="1732" max="18" man="1"/>
    <brk id="1805" max="18" man="1"/>
    <brk id="1882" max="18" man="1"/>
    <brk id="1958" max="18" man="1"/>
    <brk id="2092" max="18" man="1"/>
    <brk id="2158" max="18" man="1"/>
    <brk id="2218" max="18" man="1"/>
    <brk id="2286" max="18" man="1"/>
    <brk id="2358" max="16383" man="1"/>
    <brk id="2634" max="18" man="1"/>
    <brk id="2710" max="16383" man="1"/>
    <brk id="2768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indexed="22"/>
  </sheetPr>
  <dimension ref="A1:R512"/>
  <sheetViews>
    <sheetView showGridLines="0" zoomScale="85" zoomScaleNormal="85" workbookViewId="0">
      <pane ySplit="6" topLeftCell="A7" activePane="bottomLeft" state="frozen"/>
      <selection pane="bottomLeft" activeCell="A299" sqref="A299:XFD340"/>
    </sheetView>
  </sheetViews>
  <sheetFormatPr defaultColWidth="9.140625" defaultRowHeight="12.75"/>
  <cols>
    <col min="1" max="1" width="1" style="33" customWidth="1"/>
    <col min="2" max="2" width="17.7109375" style="33" customWidth="1"/>
    <col min="3" max="3" width="11.7109375" style="33" customWidth="1"/>
    <col min="4" max="13" width="14.7109375" style="33" customWidth="1"/>
    <col min="14" max="16384" width="9.140625" style="33"/>
  </cols>
  <sheetData>
    <row r="1" spans="1:18" ht="12.75" customHeight="1">
      <c r="B1" s="112" t="str">
        <f>TITLE!B2</f>
        <v>ВЕРСІЯ: 62.00.25</v>
      </c>
      <c r="C1" s="234" t="str">
        <f>Products!C1</f>
        <v>UA</v>
      </c>
      <c r="M1" s="214" t="str">
        <f>IF($C$1="ENG","PRINT VERSION","ВЕРСІЯ ДЛЯ ДРУКУ")</f>
        <v>ВЕРСІЯ ДЛЯ ДРУКУ</v>
      </c>
    </row>
    <row r="2" spans="1:18">
      <c r="H2" s="337"/>
      <c r="I2" s="337"/>
      <c r="J2" s="235"/>
      <c r="K2" s="236" t="str">
        <f>Products!U2</f>
        <v>знижка</v>
      </c>
      <c r="L2" s="237">
        <f>Products!W2</f>
        <v>0</v>
      </c>
      <c r="M2" s="242"/>
    </row>
    <row r="3" spans="1:18">
      <c r="D3" s="612" t="str">
        <f>Products!E4</f>
        <v>РОЗДРІБНІ ЦІНИ НА ПРОДУКЦІЮ ТМ VERTO</v>
      </c>
      <c r="E3" s="612"/>
      <c r="F3" s="612"/>
      <c r="G3" s="612"/>
      <c r="H3" s="338"/>
      <c r="I3" s="338"/>
      <c r="J3" s="228"/>
      <c r="K3" s="238" t="str">
        <f>Products!U4</f>
        <v>курс валют (за 1 грн.)</v>
      </c>
      <c r="L3" s="239">
        <f>Products!W4</f>
        <v>1</v>
      </c>
      <c r="M3" s="228"/>
    </row>
    <row r="4" spans="1:18" ht="12.75" customHeight="1">
      <c r="D4" s="613" t="str">
        <f>Products!E5</f>
        <v>діє з: 1 вересня 2025 р.</v>
      </c>
      <c r="E4" s="613"/>
      <c r="F4" s="613"/>
      <c r="G4" s="613"/>
      <c r="H4" s="338"/>
      <c r="I4" s="338"/>
      <c r="J4" s="228"/>
      <c r="K4" s="240" t="str">
        <f>Products!U5</f>
        <v>ПДВ</v>
      </c>
      <c r="L4" s="241">
        <f>Products!W5</f>
        <v>0.2</v>
      </c>
      <c r="M4" s="228"/>
    </row>
    <row r="5" spans="1:18" ht="5.0999999999999996" customHeight="1">
      <c r="C5" s="35"/>
      <c r="D5" s="35"/>
      <c r="E5" s="35"/>
    </row>
    <row r="6" spans="1:18" ht="12.75" customHeight="1">
      <c r="B6" s="614" t="str">
        <f>Products!B8</f>
        <v>Асортимент</v>
      </c>
      <c r="C6" s="615"/>
      <c r="D6" s="616" t="str">
        <f>CONCATENATE(D3," ",Products!E8)</f>
        <v>РОЗДРІБНІ ЦІНИ НА ПРОДУКЦІЮ ТМ VERTO з ПДВ</v>
      </c>
      <c r="E6" s="617"/>
      <c r="F6" s="617"/>
      <c r="G6" s="617"/>
      <c r="H6" s="617"/>
      <c r="I6" s="617"/>
      <c r="J6" s="617"/>
      <c r="K6" s="617"/>
      <c r="L6" s="617"/>
      <c r="M6" s="618"/>
    </row>
    <row r="8" spans="1:18" s="31" customFormat="1" ht="12.75" customHeight="1">
      <c r="B8" s="591" t="str">
        <f>TITLE!$C$8</f>
        <v>Полотна каркасно-щитові: СТАНДАРТ</v>
      </c>
      <c r="C8" s="592"/>
      <c r="D8" s="592"/>
      <c r="E8" s="592"/>
      <c r="F8" s="169"/>
      <c r="G8" s="169"/>
      <c r="H8" s="169"/>
      <c r="I8" s="169"/>
      <c r="J8" s="342"/>
      <c r="K8" s="342"/>
      <c r="L8" s="342"/>
      <c r="M8" s="343"/>
    </row>
    <row r="9" spans="1:18">
      <c r="A9" s="31"/>
      <c r="B9" s="589" t="str">
        <f>Products!B12</f>
        <v>модель</v>
      </c>
      <c r="C9" s="165" t="str">
        <f>Products!C12</f>
        <v>покриття:</v>
      </c>
      <c r="D9" s="168" t="str">
        <f>Products!D12</f>
        <v>SIMPL / V-CELL</v>
      </c>
      <c r="E9" s="168" t="str">
        <f>Products!F12</f>
        <v>UNI-MAT</v>
      </c>
      <c r="F9" s="46"/>
      <c r="G9" s="46"/>
      <c r="H9" s="215"/>
      <c r="I9" s="215"/>
      <c r="J9" s="215"/>
      <c r="K9" s="344"/>
      <c r="L9" s="345" t="str">
        <f>Products!B24</f>
        <v>вентиляційні віддушини (1ряд)</v>
      </c>
      <c r="M9" s="346">
        <f>Products!E24</f>
        <v>250</v>
      </c>
      <c r="O9" s="216"/>
      <c r="P9" s="216"/>
      <c r="Q9" s="216"/>
      <c r="R9" s="216"/>
    </row>
    <row r="10" spans="1:18">
      <c r="A10" s="31"/>
      <c r="B10" s="589"/>
      <c r="C10" s="156" t="str">
        <f>Products!C13</f>
        <v>заповнення:</v>
      </c>
      <c r="D10" s="167" t="str">
        <f>Products!D13</f>
        <v>сотове заповнення</v>
      </c>
      <c r="E10" s="167" t="str">
        <f>Products!F13</f>
        <v>сотове заповнення</v>
      </c>
      <c r="F10" s="145"/>
      <c r="G10" s="145"/>
      <c r="H10" s="215"/>
      <c r="I10" s="215"/>
      <c r="J10" s="215"/>
      <c r="K10" s="347"/>
      <c r="L10" s="345" t="str">
        <f>Products!B25</f>
        <v>вентиляційний підріз</v>
      </c>
      <c r="M10" s="346">
        <f>Products!E25</f>
        <v>170.00000000000003</v>
      </c>
      <c r="O10" s="216"/>
      <c r="P10" s="216"/>
      <c r="Q10" s="216"/>
      <c r="R10" s="216"/>
    </row>
    <row r="11" spans="1:18" ht="12.75" customHeight="1">
      <c r="A11" s="31"/>
      <c r="B11" s="590"/>
      <c r="C11" s="157" t="str">
        <f>Products!C14</f>
        <v>скління:</v>
      </c>
      <c r="D11" s="160" t="str">
        <f>Products!D14</f>
        <v>Сатин</v>
      </c>
      <c r="E11" s="160" t="str">
        <f>Products!F14</f>
        <v>Сатин</v>
      </c>
      <c r="F11" s="158"/>
      <c r="G11" s="159"/>
      <c r="H11" s="215"/>
      <c r="I11" s="215"/>
      <c r="J11" s="215"/>
      <c r="K11" s="347"/>
      <c r="L11" s="345" t="str">
        <f>Products!B26</f>
        <v>третя завіса</v>
      </c>
      <c r="M11" s="346">
        <f>Products!E26</f>
        <v>80</v>
      </c>
      <c r="O11" s="217"/>
      <c r="P11" s="217"/>
      <c r="Q11" s="217"/>
      <c r="R11" s="217"/>
    </row>
    <row r="12" spans="1:18">
      <c r="A12" s="31"/>
      <c r="B12" s="13" t="str">
        <f>Products!B15</f>
        <v>1А</v>
      </c>
      <c r="C12" s="162"/>
      <c r="D12" s="184">
        <f>Products!E15</f>
        <v>5650.0000000000009</v>
      </c>
      <c r="E12" s="182">
        <f>Products!G15</f>
        <v>6400.0000000000009</v>
      </c>
      <c r="F12" s="96"/>
      <c r="G12" s="96"/>
      <c r="H12" s="218"/>
      <c r="I12" s="218"/>
      <c r="J12" s="349"/>
      <c r="K12" s="347"/>
      <c r="L12" s="345" t="str">
        <f>Products!B27</f>
        <v>скло Графіт / Бронза</v>
      </c>
      <c r="M12" s="346">
        <f>Products!E27</f>
        <v>550</v>
      </c>
    </row>
    <row r="13" spans="1:18">
      <c r="A13" s="31"/>
      <c r="B13" s="16" t="str">
        <f>Products!B16</f>
        <v>1Б</v>
      </c>
      <c r="C13" s="163"/>
      <c r="D13" s="184">
        <f>Products!E16</f>
        <v>5960</v>
      </c>
      <c r="E13" s="184">
        <f>Products!G16</f>
        <v>6780</v>
      </c>
      <c r="F13" s="96"/>
      <c r="G13" s="96"/>
      <c r="H13" s="219"/>
      <c r="I13" s="219"/>
      <c r="J13" s="350"/>
      <c r="K13" s="347"/>
      <c r="L13" s="345" t="str">
        <f>Products!B28</f>
        <v>замок Soft</v>
      </c>
      <c r="M13" s="346">
        <f>Products!E28</f>
        <v>550</v>
      </c>
    </row>
    <row r="14" spans="1:18">
      <c r="A14" s="31"/>
      <c r="B14" s="16" t="str">
        <f>Products!B17</f>
        <v>2А</v>
      </c>
      <c r="C14" s="163"/>
      <c r="D14" s="184">
        <f>Products!E17</f>
        <v>5730</v>
      </c>
      <c r="E14" s="184">
        <f>Products!G17</f>
        <v>6480</v>
      </c>
      <c r="F14" s="96"/>
      <c r="G14" s="96"/>
      <c r="H14" s="220"/>
      <c r="I14" s="220"/>
      <c r="J14" s="351"/>
      <c r="K14" s="347"/>
      <c r="L14" s="345" t="str">
        <f>Products!B29</f>
        <v>замок Soft чорн.</v>
      </c>
      <c r="M14" s="346">
        <f>Products!E29</f>
        <v>680.00000000000011</v>
      </c>
    </row>
    <row r="15" spans="1:18">
      <c r="A15" s="31"/>
      <c r="B15" s="16" t="str">
        <f>Products!B18</f>
        <v>2Б</v>
      </c>
      <c r="C15" s="163"/>
      <c r="D15" s="184">
        <f>Products!E18</f>
        <v>6040.0000000000009</v>
      </c>
      <c r="E15" s="184">
        <f>Products!G18</f>
        <v>6860</v>
      </c>
      <c r="F15" s="96"/>
      <c r="G15" s="96"/>
      <c r="H15" s="219"/>
      <c r="I15" s="219"/>
      <c r="J15" s="350"/>
      <c r="K15" s="347"/>
      <c r="L15" s="345" t="str">
        <f>Products!B30</f>
        <v>замок Magnet</v>
      </c>
      <c r="M15" s="346">
        <f>Products!E30</f>
        <v>800.00000000000011</v>
      </c>
    </row>
    <row r="16" spans="1:18">
      <c r="A16" s="31"/>
      <c r="B16" s="16" t="str">
        <f>Products!B19</f>
        <v>3.0 - 3.1</v>
      </c>
      <c r="C16" s="163"/>
      <c r="D16" s="184">
        <f>Products!E19</f>
        <v>5410.0000000000009</v>
      </c>
      <c r="E16" s="184">
        <f>Products!G19</f>
        <v>6140</v>
      </c>
      <c r="F16" s="96"/>
      <c r="G16" s="96"/>
      <c r="H16" s="219"/>
      <c r="I16" s="219"/>
      <c r="J16" s="350"/>
      <c r="K16" s="347"/>
      <c r="L16" s="345" t="str">
        <f>Products!B31</f>
        <v>замок Magnet чорн.</v>
      </c>
      <c r="M16" s="346">
        <f>Products!E31</f>
        <v>1000</v>
      </c>
    </row>
    <row r="17" spans="1:17">
      <c r="A17" s="31"/>
      <c r="B17" s="23" t="str">
        <f>Products!B20</f>
        <v>4.0 - 4.2</v>
      </c>
      <c r="C17" s="164"/>
      <c r="D17" s="186">
        <f>Products!E20</f>
        <v>5410.0000000000009</v>
      </c>
      <c r="E17" s="186">
        <f>Products!G20</f>
        <v>6140</v>
      </c>
      <c r="F17" s="96"/>
      <c r="G17" s="96"/>
      <c r="H17" s="219"/>
      <c r="I17" s="219"/>
      <c r="J17" s="350"/>
      <c r="K17" s="347"/>
      <c r="L17" s="345" t="str">
        <f>Products!B32</f>
        <v>ручка-замок (для дверей купе)</v>
      </c>
      <c r="M17" s="346">
        <f>Products!E32</f>
        <v>560</v>
      </c>
    </row>
    <row r="18" spans="1:17">
      <c r="A18" s="31"/>
      <c r="B18" s="312"/>
      <c r="C18" s="313"/>
      <c r="D18" s="195"/>
      <c r="E18" s="198"/>
      <c r="F18" s="96"/>
      <c r="G18" s="96"/>
      <c r="H18" s="219"/>
      <c r="I18" s="219"/>
      <c r="J18" s="350"/>
      <c r="K18" s="347"/>
      <c r="L18" s="345" t="str">
        <f>Products!B33</f>
        <v>циліндр несиметричний</v>
      </c>
      <c r="M18" s="346">
        <f>Products!E33</f>
        <v>390</v>
      </c>
    </row>
    <row r="19" spans="1:17">
      <c r="C19" s="34"/>
      <c r="D19" s="34"/>
      <c r="E19" s="34"/>
      <c r="F19" s="31"/>
      <c r="J19" s="352"/>
      <c r="K19" s="347"/>
      <c r="L19" s="345" t="str">
        <f>Products!B34</f>
        <v>завіса Prestige (1 шт)</v>
      </c>
      <c r="M19" s="346">
        <f>Products!E34</f>
        <v>260</v>
      </c>
      <c r="N19" s="217"/>
      <c r="O19" s="217"/>
      <c r="P19" s="217"/>
      <c r="Q19" s="217"/>
    </row>
    <row r="20" spans="1:17">
      <c r="C20" s="34"/>
      <c r="D20" s="34"/>
      <c r="E20" s="34"/>
      <c r="F20" s="31"/>
      <c r="J20" s="352"/>
      <c r="K20" s="347"/>
      <c r="L20" s="345" t="str">
        <f>Products!B35</f>
        <v>накладка на завіси (1 к-т)</v>
      </c>
      <c r="M20" s="346">
        <f>Products!E35</f>
        <v>80</v>
      </c>
      <c r="N20" s="217"/>
      <c r="O20" s="217"/>
      <c r="P20" s="217"/>
      <c r="Q20" s="217"/>
    </row>
    <row r="21" spans="1:17" ht="21">
      <c r="C21" s="34"/>
      <c r="D21" s="34"/>
      <c r="E21" s="34"/>
      <c r="F21" s="31"/>
      <c r="J21" s="352"/>
      <c r="K21" s="347"/>
      <c r="L21" s="345" t="str">
        <f>Products!B36</f>
        <v>дверна ручка</v>
      </c>
      <c r="M21" s="346" t="str">
        <f>Products!E36</f>
        <v>див. Таблицю Ручки</v>
      </c>
      <c r="N21" s="217"/>
      <c r="O21" s="217"/>
      <c r="P21" s="217"/>
      <c r="Q21" s="217"/>
    </row>
    <row r="22" spans="1:17">
      <c r="C22" s="34"/>
      <c r="D22" s="34"/>
      <c r="E22" s="34"/>
      <c r="F22" s="31"/>
      <c r="J22" s="352"/>
      <c r="K22" s="347"/>
      <c r="L22" s="345" t="str">
        <f>Products!B37</f>
        <v>ДСП трубчасте</v>
      </c>
      <c r="M22" s="346">
        <f>Products!E37</f>
        <v>1300.0000000000002</v>
      </c>
      <c r="N22" s="217"/>
      <c r="O22" s="217"/>
      <c r="P22" s="217"/>
      <c r="Q22" s="217"/>
    </row>
    <row r="23" spans="1:17">
      <c r="C23" s="34"/>
      <c r="D23" s="34"/>
      <c r="E23" s="34"/>
      <c r="F23" s="31"/>
      <c r="J23" s="352"/>
      <c r="N23" s="217"/>
      <c r="O23" s="217"/>
      <c r="P23" s="217"/>
      <c r="Q23" s="217"/>
    </row>
    <row r="24" spans="1:17">
      <c r="C24" s="34"/>
      <c r="D24" s="34"/>
      <c r="E24" s="34"/>
      <c r="F24" s="31"/>
      <c r="J24" s="352"/>
      <c r="N24" s="217"/>
      <c r="O24" s="217"/>
      <c r="P24" s="217"/>
      <c r="Q24" s="217"/>
    </row>
    <row r="25" spans="1:17" s="31" customFormat="1" ht="12.75" customHeight="1">
      <c r="B25" s="591" t="str">
        <f>TITLE!$C$9</f>
        <v>Полотна каркасно-щитові: КУПАВА</v>
      </c>
      <c r="C25" s="592"/>
      <c r="D25" s="592"/>
      <c r="E25" s="592"/>
      <c r="F25" s="169"/>
      <c r="G25" s="169"/>
      <c r="H25" s="169"/>
      <c r="I25" s="169"/>
      <c r="J25" s="342"/>
      <c r="K25" s="342"/>
      <c r="L25" s="354"/>
      <c r="M25" s="355"/>
      <c r="N25" s="217"/>
      <c r="O25" s="217"/>
      <c r="P25" s="217"/>
      <c r="Q25" s="217"/>
    </row>
    <row r="26" spans="1:17">
      <c r="A26" s="31"/>
      <c r="B26" s="589" t="str">
        <f>Products!B90</f>
        <v>модель</v>
      </c>
      <c r="C26" s="165" t="str">
        <f>Products!C90</f>
        <v>покриття:</v>
      </c>
      <c r="D26" s="166" t="str">
        <f>Products!D90</f>
        <v>SIMPL / V-CELL</v>
      </c>
      <c r="E26" s="166" t="str">
        <f>Products!F90</f>
        <v>UNI-MAT</v>
      </c>
      <c r="F26" s="46"/>
      <c r="G26" s="46"/>
      <c r="H26" s="215"/>
      <c r="I26" s="215"/>
      <c r="J26" s="215"/>
      <c r="K26" s="356"/>
      <c r="L26" s="340" t="str">
        <f>Products!B98</f>
        <v>вентиляційний підріз</v>
      </c>
      <c r="M26" s="357">
        <f>Products!E98</f>
        <v>170.00000000000003</v>
      </c>
    </row>
    <row r="27" spans="1:17">
      <c r="A27" s="31"/>
      <c r="B27" s="589"/>
      <c r="C27" s="156" t="str">
        <f>Products!C91</f>
        <v>заповнення:</v>
      </c>
      <c r="D27" s="167" t="str">
        <f>Products!D91</f>
        <v>сотове заповнення</v>
      </c>
      <c r="E27" s="167" t="str">
        <f>Products!F91</f>
        <v>сотове заповнення</v>
      </c>
      <c r="F27" s="145"/>
      <c r="G27" s="145"/>
      <c r="H27" s="215"/>
      <c r="I27" s="215"/>
      <c r="J27" s="215"/>
      <c r="K27" s="347"/>
      <c r="L27" s="341" t="str">
        <f>Products!B99</f>
        <v>третя завіса</v>
      </c>
      <c r="M27" s="348">
        <f>Products!E99</f>
        <v>80</v>
      </c>
    </row>
    <row r="28" spans="1:17" ht="12.75" customHeight="1">
      <c r="A28" s="31"/>
      <c r="B28" s="590"/>
      <c r="C28" s="157" t="str">
        <f>Products!C92</f>
        <v>скління:</v>
      </c>
      <c r="D28" s="160" t="str">
        <f>Products!D92</f>
        <v>Сатин</v>
      </c>
      <c r="E28" s="160" t="str">
        <f>Products!F92</f>
        <v>Сатин</v>
      </c>
      <c r="F28" s="158"/>
      <c r="G28" s="159"/>
      <c r="H28" s="215"/>
      <c r="I28" s="215"/>
      <c r="J28" s="215"/>
      <c r="K28" s="347"/>
      <c r="L28" s="341" t="str">
        <f>Products!B100</f>
        <v>скло Графіт / Бронза</v>
      </c>
      <c r="M28" s="348">
        <f>Products!E100</f>
        <v>550</v>
      </c>
    </row>
    <row r="29" spans="1:17">
      <c r="A29" s="31"/>
      <c r="B29" s="16" t="str">
        <f>Products!B93</f>
        <v>3.0 - 3.1</v>
      </c>
      <c r="C29" s="163"/>
      <c r="D29" s="184">
        <f>Products!E93</f>
        <v>3910</v>
      </c>
      <c r="E29" s="184">
        <f>Products!G93</f>
        <v>4450</v>
      </c>
      <c r="F29" s="96"/>
      <c r="G29" s="96"/>
      <c r="H29" s="221"/>
      <c r="I29" s="221"/>
      <c r="J29" s="358"/>
      <c r="K29" s="347"/>
      <c r="L29" s="341" t="str">
        <f>Products!B101</f>
        <v>замок Soft</v>
      </c>
      <c r="M29" s="348">
        <f>Products!E101</f>
        <v>550</v>
      </c>
    </row>
    <row r="30" spans="1:17">
      <c r="A30" s="31"/>
      <c r="B30" s="23" t="str">
        <f>Products!B94</f>
        <v>4.0 - 4.1</v>
      </c>
      <c r="C30" s="164"/>
      <c r="D30" s="186">
        <f>Products!E94</f>
        <v>4400</v>
      </c>
      <c r="E30" s="186">
        <f>Products!G94</f>
        <v>5000</v>
      </c>
      <c r="F30" s="96"/>
      <c r="G30" s="96"/>
      <c r="H30" s="221"/>
      <c r="I30" s="221"/>
      <c r="J30" s="358"/>
      <c r="K30" s="347"/>
      <c r="L30" s="341" t="str">
        <f>Products!B102</f>
        <v>замок Soft чорн.</v>
      </c>
      <c r="M30" s="348">
        <f>Products!E102</f>
        <v>680.00000000000011</v>
      </c>
    </row>
    <row r="31" spans="1:17">
      <c r="A31" s="31"/>
      <c r="B31" s="312"/>
      <c r="C31" s="313"/>
      <c r="D31" s="195"/>
      <c r="E31" s="198"/>
      <c r="F31" s="96"/>
      <c r="G31" s="96"/>
      <c r="H31" s="221"/>
      <c r="I31" s="221"/>
      <c r="J31" s="358"/>
      <c r="K31" s="347"/>
      <c r="L31" s="341" t="str">
        <f>Products!B103</f>
        <v>замок Magnet</v>
      </c>
      <c r="M31" s="348">
        <f>Products!E103</f>
        <v>800.00000000000011</v>
      </c>
    </row>
    <row r="32" spans="1:17">
      <c r="C32" s="34"/>
      <c r="D32" s="34"/>
      <c r="E32" s="34"/>
      <c r="J32" s="352"/>
      <c r="K32" s="347"/>
      <c r="L32" s="341" t="str">
        <f>Products!C104</f>
        <v>замок Magnet чорн.</v>
      </c>
      <c r="M32" s="348">
        <f>Products!E104</f>
        <v>1000</v>
      </c>
    </row>
    <row r="33" spans="1:13">
      <c r="C33" s="34"/>
      <c r="D33" s="34"/>
      <c r="E33" s="34"/>
      <c r="J33" s="352"/>
      <c r="K33" s="347"/>
      <c r="L33" s="341" t="str">
        <f>Products!B105</f>
        <v>ручка-замок (для дверей купе)</v>
      </c>
      <c r="M33" s="348">
        <f>Products!E105</f>
        <v>560</v>
      </c>
    </row>
    <row r="34" spans="1:13">
      <c r="C34" s="34"/>
      <c r="D34" s="34"/>
      <c r="E34" s="34"/>
      <c r="J34" s="352"/>
      <c r="K34" s="347"/>
      <c r="L34" s="341" t="str">
        <f>Products!B106</f>
        <v>циліндр несиметричний</v>
      </c>
      <c r="M34" s="348">
        <f>Products!E106</f>
        <v>390</v>
      </c>
    </row>
    <row r="35" spans="1:13">
      <c r="C35" s="34"/>
      <c r="D35" s="34"/>
      <c r="E35" s="34"/>
      <c r="J35" s="352"/>
      <c r="K35" s="347"/>
      <c r="L35" s="341" t="str">
        <f>Products!B107</f>
        <v>завіса Prestige (1 шт)</v>
      </c>
      <c r="M35" s="348">
        <f>Products!E107</f>
        <v>260</v>
      </c>
    </row>
    <row r="36" spans="1:13">
      <c r="C36" s="34"/>
      <c r="D36" s="34"/>
      <c r="E36" s="34"/>
      <c r="J36" s="352"/>
      <c r="K36" s="347"/>
      <c r="L36" s="341" t="str">
        <f>Products!B108</f>
        <v>накладка на завіси (1 к-т)</v>
      </c>
      <c r="M36" s="348">
        <f>Products!E108</f>
        <v>80</v>
      </c>
    </row>
    <row r="37" spans="1:13" ht="21">
      <c r="C37" s="34"/>
      <c r="D37" s="34"/>
      <c r="E37" s="34"/>
      <c r="J37" s="352"/>
      <c r="K37" s="347"/>
      <c r="L37" s="341" t="str">
        <f>Products!B109</f>
        <v>дверна ручка</v>
      </c>
      <c r="M37" s="348" t="str">
        <f>Products!E109</f>
        <v>див. Таблицю Ручки</v>
      </c>
    </row>
    <row r="38" spans="1:13">
      <c r="C38" s="34"/>
      <c r="D38" s="34"/>
      <c r="E38" s="34"/>
      <c r="J38" s="352"/>
      <c r="K38" s="347"/>
      <c r="L38" s="341" t="str">
        <f>Products!B110</f>
        <v>ДСП трубчасте</v>
      </c>
      <c r="M38" s="348">
        <f>Products!E110</f>
        <v>1300.0000000000002</v>
      </c>
    </row>
    <row r="39" spans="1:13">
      <c r="C39" s="34"/>
      <c r="D39" s="34"/>
      <c r="E39" s="34"/>
      <c r="J39" s="352"/>
    </row>
    <row r="40" spans="1:13" s="31" customFormat="1" ht="12.75" customHeight="1">
      <c r="B40" s="591" t="str">
        <f>TITLE!$C$10</f>
        <v>Полотна каркасно-щитові: ГЕОМЕТРІЯ</v>
      </c>
      <c r="C40" s="592"/>
      <c r="D40" s="592"/>
      <c r="E40" s="592"/>
      <c r="F40" s="169"/>
      <c r="G40" s="169"/>
      <c r="H40" s="169"/>
      <c r="I40" s="169"/>
      <c r="J40" s="342"/>
      <c r="K40" s="342"/>
      <c r="L40" s="354"/>
      <c r="M40" s="355"/>
    </row>
    <row r="41" spans="1:13">
      <c r="A41" s="31"/>
      <c r="B41" s="589" t="str">
        <f>Products!B163</f>
        <v>модель</v>
      </c>
      <c r="C41" s="165" t="str">
        <f>Products!C163</f>
        <v>покриття:</v>
      </c>
      <c r="D41" s="166" t="str">
        <f>Products!D163</f>
        <v>SIMPL / V-CELL</v>
      </c>
      <c r="E41" s="129" t="str">
        <f>Products!F163</f>
        <v>UNI-MAT</v>
      </c>
      <c r="F41" s="129" t="str">
        <f>Products!H163</f>
        <v>RESIST</v>
      </c>
      <c r="G41" s="325"/>
      <c r="H41" s="46"/>
      <c r="I41" s="46"/>
      <c r="J41" s="46"/>
      <c r="K41" s="356"/>
      <c r="L41" s="340" t="str">
        <f>Products!B174</f>
        <v>вентиляційні віддушини (1ряд)</v>
      </c>
      <c r="M41" s="357">
        <f>Products!E174</f>
        <v>250</v>
      </c>
    </row>
    <row r="42" spans="1:13">
      <c r="A42" s="31"/>
      <c r="B42" s="589"/>
      <c r="C42" s="156" t="str">
        <f>Products!C164</f>
        <v>заповнення:</v>
      </c>
      <c r="D42" s="167" t="str">
        <f>Products!D164</f>
        <v>сотове заповнення</v>
      </c>
      <c r="E42" s="139" t="str">
        <f>Products!F164</f>
        <v>сотове заповнення</v>
      </c>
      <c r="F42" s="139" t="str">
        <f>Products!H164</f>
        <v>сотове заповнення</v>
      </c>
      <c r="G42" s="47"/>
      <c r="H42" s="47"/>
      <c r="I42" s="47"/>
      <c r="J42" s="47"/>
      <c r="K42" s="347"/>
      <c r="L42" s="341" t="str">
        <f>Products!B175</f>
        <v>вентиляційний підріз</v>
      </c>
      <c r="M42" s="348">
        <f>Products!E175</f>
        <v>170.00000000000003</v>
      </c>
    </row>
    <row r="43" spans="1:13" ht="12.75" customHeight="1">
      <c r="A43" s="31"/>
      <c r="B43" s="590"/>
      <c r="C43" s="157" t="str">
        <f>Products!C165</f>
        <v>скління:</v>
      </c>
      <c r="D43" s="160" t="str">
        <f>Products!D165</f>
        <v>Сатин</v>
      </c>
      <c r="E43" s="118" t="str">
        <f>Products!F165</f>
        <v>Сатин</v>
      </c>
      <c r="F43" s="118" t="str">
        <f>Products!H165</f>
        <v>Сатин</v>
      </c>
      <c r="G43" s="159"/>
      <c r="H43" s="158"/>
      <c r="I43" s="158"/>
      <c r="J43" s="158"/>
      <c r="K43" s="347"/>
      <c r="L43" s="341" t="str">
        <f>Products!B176</f>
        <v>третя завіса</v>
      </c>
      <c r="M43" s="348">
        <f>Products!E176</f>
        <v>80</v>
      </c>
    </row>
    <row r="44" spans="1:13">
      <c r="A44" s="31"/>
      <c r="B44" s="13" t="str">
        <f>Products!B166</f>
        <v>1.0 - 1.1</v>
      </c>
      <c r="C44" s="162"/>
      <c r="D44" s="182">
        <f>Products!E166</f>
        <v>3890</v>
      </c>
      <c r="E44" s="183">
        <f>Products!G166</f>
        <v>4420</v>
      </c>
      <c r="F44" s="183">
        <f>Products!I166</f>
        <v>4700</v>
      </c>
      <c r="G44" s="198"/>
      <c r="H44" s="96"/>
      <c r="I44" s="96"/>
      <c r="J44" s="359"/>
      <c r="K44" s="347"/>
      <c r="L44" s="341" t="str">
        <f>Products!B177</f>
        <v>скло Графіт / Бронза</v>
      </c>
      <c r="M44" s="348">
        <f>Products!E177</f>
        <v>550</v>
      </c>
    </row>
    <row r="45" spans="1:13">
      <c r="A45" s="31"/>
      <c r="B45" s="16" t="str">
        <f>Products!B167</f>
        <v>3.0 - 3.3</v>
      </c>
      <c r="C45" s="163"/>
      <c r="D45" s="184">
        <f>Products!E167</f>
        <v>4190</v>
      </c>
      <c r="E45" s="185">
        <f>Products!G167</f>
        <v>4780</v>
      </c>
      <c r="F45" s="185">
        <f>Products!I167</f>
        <v>4960.0000000000009</v>
      </c>
      <c r="G45" s="198"/>
      <c r="H45" s="96"/>
      <c r="I45" s="96"/>
      <c r="J45" s="359"/>
      <c r="K45" s="347"/>
      <c r="L45" s="341" t="str">
        <f>Products!B178</f>
        <v>замок Soft</v>
      </c>
      <c r="M45" s="348">
        <f>Products!E178</f>
        <v>550</v>
      </c>
    </row>
    <row r="46" spans="1:13">
      <c r="A46" s="31"/>
      <c r="B46" s="16" t="str">
        <f>Products!B168</f>
        <v>4.0 - 4.4</v>
      </c>
      <c r="C46" s="163"/>
      <c r="D46" s="184">
        <f>Products!E168</f>
        <v>4190</v>
      </c>
      <c r="E46" s="185">
        <f>Products!G168</f>
        <v>4780</v>
      </c>
      <c r="F46" s="185">
        <f>Products!I168</f>
        <v>4960.0000000000009</v>
      </c>
      <c r="G46" s="198"/>
      <c r="H46" s="96"/>
      <c r="I46" s="96"/>
      <c r="J46" s="359"/>
      <c r="K46" s="347"/>
      <c r="L46" s="341" t="str">
        <f>Products!B179</f>
        <v>замок Soft чорн.</v>
      </c>
      <c r="M46" s="348">
        <f>Products!E179</f>
        <v>680.00000000000011</v>
      </c>
    </row>
    <row r="47" spans="1:13">
      <c r="A47" s="31"/>
      <c r="B47" s="16" t="str">
        <f>Products!B169</f>
        <v>5.0 - 5.5</v>
      </c>
      <c r="C47" s="163"/>
      <c r="D47" s="184">
        <f>Products!E169</f>
        <v>4190</v>
      </c>
      <c r="E47" s="185">
        <f>Products!G169</f>
        <v>4780</v>
      </c>
      <c r="F47" s="185">
        <f>Products!I169</f>
        <v>4960.0000000000009</v>
      </c>
      <c r="G47" s="198"/>
      <c r="H47" s="96"/>
      <c r="I47" s="96"/>
      <c r="J47" s="359"/>
      <c r="K47" s="347"/>
      <c r="L47" s="341" t="str">
        <f>Products!B180</f>
        <v>замок Magnet</v>
      </c>
      <c r="M47" s="348">
        <f>Products!E180</f>
        <v>800.00000000000011</v>
      </c>
    </row>
    <row r="48" spans="1:13">
      <c r="A48" s="31"/>
      <c r="B48" s="23" t="str">
        <f>Products!B170</f>
        <v>6.0 - 6.6</v>
      </c>
      <c r="C48" s="164"/>
      <c r="D48" s="186">
        <f>Products!E170</f>
        <v>4190</v>
      </c>
      <c r="E48" s="187">
        <f>Products!G170</f>
        <v>4780</v>
      </c>
      <c r="F48" s="187">
        <f>Products!I170</f>
        <v>4960.0000000000009</v>
      </c>
      <c r="G48" s="198"/>
      <c r="H48" s="96"/>
      <c r="I48" s="96"/>
      <c r="J48" s="359"/>
      <c r="K48" s="347"/>
      <c r="L48" s="341" t="str">
        <f>Products!C181</f>
        <v>замок Magnet чорн.</v>
      </c>
      <c r="M48" s="348">
        <f>Products!E181</f>
        <v>1000</v>
      </c>
    </row>
    <row r="49" spans="1:13">
      <c r="A49" s="31"/>
      <c r="H49" s="96"/>
      <c r="I49" s="96"/>
      <c r="J49" s="359"/>
      <c r="K49" s="347"/>
      <c r="L49" s="341" t="str">
        <f>Products!B182</f>
        <v>ручка-замок (для дверей купе)</v>
      </c>
      <c r="M49" s="348">
        <f>Products!E182</f>
        <v>560</v>
      </c>
    </row>
    <row r="50" spans="1:13">
      <c r="A50" s="31"/>
      <c r="B50" s="174"/>
      <c r="C50" s="175"/>
      <c r="D50" s="198"/>
      <c r="E50" s="198"/>
      <c r="F50" s="198"/>
      <c r="G50" s="198"/>
      <c r="H50" s="96"/>
      <c r="I50" s="96"/>
      <c r="J50" s="359"/>
      <c r="K50" s="347"/>
      <c r="L50" s="341" t="str">
        <f>Products!B183</f>
        <v>циліндр несиметричний</v>
      </c>
      <c r="M50" s="348">
        <f>Products!E183</f>
        <v>390</v>
      </c>
    </row>
    <row r="51" spans="1:13">
      <c r="A51" s="31"/>
      <c r="B51" s="174"/>
      <c r="C51" s="175"/>
      <c r="D51" s="198"/>
      <c r="E51" s="198"/>
      <c r="F51" s="198"/>
      <c r="G51" s="198"/>
      <c r="H51" s="96"/>
      <c r="I51" s="96"/>
      <c r="J51" s="359"/>
      <c r="K51" s="347"/>
      <c r="L51" s="341" t="str">
        <f>Products!B184</f>
        <v>завіса Prestige (1 шт)</v>
      </c>
      <c r="M51" s="348">
        <f>Products!E184</f>
        <v>260</v>
      </c>
    </row>
    <row r="52" spans="1:13">
      <c r="A52" s="31"/>
      <c r="B52" s="174"/>
      <c r="C52" s="175"/>
      <c r="D52" s="198"/>
      <c r="E52" s="198"/>
      <c r="F52" s="198"/>
      <c r="G52" s="198"/>
      <c r="H52" s="96"/>
      <c r="I52" s="96"/>
      <c r="J52" s="359"/>
      <c r="K52" s="347"/>
      <c r="L52" s="341" t="str">
        <f>Products!B185</f>
        <v>накладка на завіси (1 к-т)</v>
      </c>
      <c r="M52" s="348">
        <f>Products!E185</f>
        <v>80</v>
      </c>
    </row>
    <row r="53" spans="1:13" ht="21">
      <c r="E53" s="34"/>
      <c r="J53" s="352"/>
      <c r="K53" s="347"/>
      <c r="L53" s="341" t="str">
        <f>Products!B186</f>
        <v>дверна ручка</v>
      </c>
      <c r="M53" s="348" t="str">
        <f>Products!E186</f>
        <v>див. Таблицю Ручки</v>
      </c>
    </row>
    <row r="54" spans="1:13">
      <c r="E54" s="34"/>
      <c r="J54" s="352"/>
      <c r="K54" s="347"/>
      <c r="L54" s="341" t="str">
        <f>Products!B187</f>
        <v>ДСП трубчасте</v>
      </c>
      <c r="M54" s="348">
        <f>Products!E187</f>
        <v>1300.0000000000002</v>
      </c>
    </row>
    <row r="55" spans="1:13">
      <c r="C55" s="34"/>
      <c r="D55" s="34"/>
      <c r="E55" s="34"/>
      <c r="J55" s="352"/>
    </row>
    <row r="56" spans="1:13" s="31" customFormat="1" ht="12.75" customHeight="1">
      <c r="B56" s="591" t="str">
        <f>TITLE!$C$11</f>
        <v>Полотна каркасно-щитові: ІДЕЯ</v>
      </c>
      <c r="C56" s="592"/>
      <c r="D56" s="592"/>
      <c r="E56" s="592"/>
      <c r="F56" s="169"/>
      <c r="G56" s="169"/>
      <c r="H56" s="169"/>
      <c r="I56" s="169"/>
      <c r="J56" s="342"/>
      <c r="K56" s="342"/>
      <c r="L56" s="354"/>
      <c r="M56" s="355"/>
    </row>
    <row r="57" spans="1:13">
      <c r="A57" s="31"/>
      <c r="B57" s="589" t="str">
        <f>Products!B289</f>
        <v>модель</v>
      </c>
      <c r="C57" s="165" t="str">
        <f>Products!C289</f>
        <v>покриття:</v>
      </c>
      <c r="D57" s="161" t="str">
        <f>Products!D289</f>
        <v>SIMPL / V-CELL</v>
      </c>
      <c r="E57" s="166" t="str">
        <f>Products!F289</f>
        <v>UNI-MAT</v>
      </c>
      <c r="F57" s="166" t="str">
        <f>Products!H289</f>
        <v>RESIST</v>
      </c>
      <c r="G57" s="46"/>
      <c r="H57" s="215"/>
      <c r="I57" s="215"/>
      <c r="J57" s="215"/>
      <c r="K57" s="356"/>
      <c r="L57" s="340" t="str">
        <f>Products!B300</f>
        <v>вентиляційні віддушини (1ряд)</v>
      </c>
      <c r="M57" s="357">
        <f>Products!E300</f>
        <v>250</v>
      </c>
    </row>
    <row r="58" spans="1:13">
      <c r="A58" s="31"/>
      <c r="B58" s="589"/>
      <c r="C58" s="156" t="str">
        <f>Products!C290</f>
        <v>заповнення:</v>
      </c>
      <c r="D58" s="137" t="str">
        <f>Products!D290</f>
        <v>сотове заповнення</v>
      </c>
      <c r="E58" s="167" t="str">
        <f>Products!F290</f>
        <v>сотове заповнення</v>
      </c>
      <c r="F58" s="167" t="str">
        <f>Products!H290</f>
        <v>сотове заповнення</v>
      </c>
      <c r="G58" s="145"/>
      <c r="H58" s="215"/>
      <c r="I58" s="215"/>
      <c r="J58" s="215"/>
      <c r="K58" s="347"/>
      <c r="L58" s="341" t="str">
        <f>Products!B301</f>
        <v>вентиляційний підріз</v>
      </c>
      <c r="M58" s="348">
        <f>Products!E301</f>
        <v>170.00000000000003</v>
      </c>
    </row>
    <row r="59" spans="1:13" ht="12.75" customHeight="1">
      <c r="A59" s="31"/>
      <c r="B59" s="590"/>
      <c r="C59" s="157" t="str">
        <f>Products!C291</f>
        <v>скління:</v>
      </c>
      <c r="D59" s="124" t="str">
        <f>Products!D291</f>
        <v xml:space="preserve">Сатин </v>
      </c>
      <c r="E59" s="173" t="str">
        <f>Products!F291</f>
        <v>Сатин</v>
      </c>
      <c r="F59" s="173" t="str">
        <f>Products!H291</f>
        <v>Сатин</v>
      </c>
      <c r="G59" s="159"/>
      <c r="H59" s="215"/>
      <c r="I59" s="215"/>
      <c r="J59" s="215"/>
      <c r="K59" s="347"/>
      <c r="L59" s="341" t="str">
        <f>Products!B302</f>
        <v>третя завіса</v>
      </c>
      <c r="M59" s="348">
        <f>Products!E302</f>
        <v>80</v>
      </c>
    </row>
    <row r="60" spans="1:13">
      <c r="A60" s="31"/>
      <c r="B60" s="13" t="str">
        <f>Products!B292</f>
        <v>1.0.</v>
      </c>
      <c r="C60" s="162"/>
      <c r="D60" s="182">
        <f>Products!E292</f>
        <v>2490</v>
      </c>
      <c r="E60" s="183">
        <f>Products!G292</f>
        <v>2860</v>
      </c>
      <c r="F60" s="183">
        <f>Products!I292</f>
        <v>3170.0000000000005</v>
      </c>
      <c r="G60" s="96"/>
      <c r="H60" s="222"/>
      <c r="I60" s="222"/>
      <c r="J60" s="349"/>
      <c r="K60" s="347"/>
      <c r="L60" s="341" t="str">
        <f>Products!B303</f>
        <v>скло Графіт / Бронза</v>
      </c>
      <c r="M60" s="348">
        <f>Products!E303</f>
        <v>550</v>
      </c>
    </row>
    <row r="61" spans="1:13">
      <c r="A61" s="31"/>
      <c r="B61" s="16" t="str">
        <f>Products!B293</f>
        <v>3.0 - 3.3</v>
      </c>
      <c r="C61" s="163"/>
      <c r="D61" s="184">
        <f>Products!E293</f>
        <v>4790</v>
      </c>
      <c r="E61" s="185">
        <f>Products!G293</f>
        <v>5510</v>
      </c>
      <c r="F61" s="185">
        <f>Products!I293</f>
        <v>5950.0000000000009</v>
      </c>
      <c r="G61" s="96"/>
      <c r="H61" s="222"/>
      <c r="I61" s="222"/>
      <c r="J61" s="349"/>
      <c r="K61" s="347"/>
      <c r="L61" s="341" t="str">
        <f>Products!B304</f>
        <v>замок Soft</v>
      </c>
      <c r="M61" s="348">
        <f>Products!E304</f>
        <v>550</v>
      </c>
    </row>
    <row r="62" spans="1:13">
      <c r="A62" s="31"/>
      <c r="B62" s="106" t="str">
        <f>Products!B294</f>
        <v>4.0 - 4.4</v>
      </c>
      <c r="C62" s="170"/>
      <c r="D62" s="188">
        <f>Products!E294</f>
        <v>4990.0000000000009</v>
      </c>
      <c r="E62" s="189">
        <f>Products!G294</f>
        <v>5750</v>
      </c>
      <c r="F62" s="189">
        <f>Products!I294</f>
        <v>6080</v>
      </c>
      <c r="G62" s="96"/>
      <c r="H62" s="222"/>
      <c r="I62" s="222"/>
      <c r="J62" s="349"/>
      <c r="K62" s="347"/>
      <c r="L62" s="341" t="str">
        <f>Products!B305</f>
        <v>замок Soft чорн.</v>
      </c>
      <c r="M62" s="348">
        <f>Products!E305</f>
        <v>680.00000000000011</v>
      </c>
    </row>
    <row r="63" spans="1:13">
      <c r="A63" s="31"/>
      <c r="B63" s="106" t="str">
        <f>Products!B295</f>
        <v>6.0 - 6.6</v>
      </c>
      <c r="C63" s="170"/>
      <c r="D63" s="188">
        <f>Products!E295</f>
        <v>5450</v>
      </c>
      <c r="E63" s="189">
        <f>Products!G295</f>
        <v>6270</v>
      </c>
      <c r="F63" s="189">
        <f>Products!I295</f>
        <v>6550.0000000000009</v>
      </c>
      <c r="G63" s="96"/>
      <c r="H63" s="222"/>
      <c r="I63" s="222"/>
      <c r="J63" s="349"/>
      <c r="K63" s="347"/>
      <c r="L63" s="341" t="str">
        <f>Products!B306</f>
        <v>замок Magnet</v>
      </c>
      <c r="M63" s="348">
        <f>Products!E306</f>
        <v>800.00000000000011</v>
      </c>
    </row>
    <row r="64" spans="1:13">
      <c r="A64" s="31"/>
      <c r="B64" s="23" t="str">
        <f>Products!B296</f>
        <v>7.0 - 7.1</v>
      </c>
      <c r="C64" s="164"/>
      <c r="D64" s="186">
        <f>Products!E296</f>
        <v>4170</v>
      </c>
      <c r="E64" s="187">
        <f>Products!G296</f>
        <v>4790</v>
      </c>
      <c r="F64" s="187">
        <f>Products!I296</f>
        <v>4990.0000000000009</v>
      </c>
      <c r="G64" s="96"/>
      <c r="H64" s="222"/>
      <c r="I64" s="222"/>
      <c r="J64" s="349"/>
      <c r="K64" s="347"/>
      <c r="L64" s="341" t="str">
        <f>Products!B307</f>
        <v>замок Magnet чорн.</v>
      </c>
      <c r="M64" s="348">
        <f>Products!E307</f>
        <v>1000</v>
      </c>
    </row>
    <row r="65" spans="1:13">
      <c r="A65" s="31"/>
      <c r="F65" s="96"/>
      <c r="G65" s="96"/>
      <c r="H65" s="222"/>
      <c r="I65" s="222"/>
      <c r="J65" s="349"/>
      <c r="K65" s="347"/>
      <c r="L65" s="341" t="str">
        <f>Products!B308</f>
        <v>ручка-замок (для дверей купе)</v>
      </c>
      <c r="M65" s="348">
        <f>Products!E308</f>
        <v>560</v>
      </c>
    </row>
    <row r="66" spans="1:13">
      <c r="A66" s="31"/>
      <c r="F66" s="96"/>
      <c r="G66" s="96"/>
      <c r="H66" s="222"/>
      <c r="I66" s="222"/>
      <c r="J66" s="349"/>
      <c r="K66" s="347"/>
      <c r="L66" s="341" t="str">
        <f>Products!B309</f>
        <v>циліндр несиметричний</v>
      </c>
      <c r="M66" s="348">
        <f>Products!E309</f>
        <v>390</v>
      </c>
    </row>
    <row r="67" spans="1:13">
      <c r="A67" s="31"/>
      <c r="F67" s="96"/>
      <c r="G67" s="96"/>
      <c r="H67" s="222"/>
      <c r="I67" s="222"/>
      <c r="J67" s="349"/>
      <c r="K67" s="347"/>
      <c r="L67" s="341" t="str">
        <f>Products!B310</f>
        <v>завіса Prestige (1 шт)</v>
      </c>
      <c r="M67" s="348">
        <f>Products!E310</f>
        <v>260</v>
      </c>
    </row>
    <row r="68" spans="1:13">
      <c r="C68" s="34"/>
      <c r="D68" s="34"/>
      <c r="E68" s="34"/>
      <c r="J68" s="352"/>
      <c r="K68" s="347"/>
      <c r="L68" s="341" t="str">
        <f>Products!B311</f>
        <v>накладка на завіси (1 к-т)</v>
      </c>
      <c r="M68" s="348">
        <f>Products!E311</f>
        <v>80</v>
      </c>
    </row>
    <row r="69" spans="1:13" ht="21">
      <c r="C69" s="34"/>
      <c r="D69" s="34"/>
      <c r="E69" s="34"/>
      <c r="J69" s="352"/>
      <c r="K69" s="347"/>
      <c r="L69" s="341" t="str">
        <f>Products!B312</f>
        <v>дверна ручка</v>
      </c>
      <c r="M69" s="348" t="str">
        <f>Products!E312</f>
        <v>див. Таблицю Ручки</v>
      </c>
    </row>
    <row r="70" spans="1:13">
      <c r="C70" s="34"/>
      <c r="D70" s="34"/>
      <c r="E70" s="34"/>
      <c r="J70" s="352"/>
      <c r="K70" s="347"/>
      <c r="L70" s="341" t="str">
        <f>Products!B313</f>
        <v>ДСП трубчасте</v>
      </c>
      <c r="M70" s="348">
        <f>Products!E313</f>
        <v>1300.0000000000002</v>
      </c>
    </row>
    <row r="71" spans="1:13" s="31" customFormat="1" ht="12.75" customHeight="1">
      <c r="B71" s="591" t="str">
        <f>TITLE!$C$12</f>
        <v>Полотна каркасно-щитові: ІДЕЯ-ЛОФТ</v>
      </c>
      <c r="C71" s="592"/>
      <c r="D71" s="592"/>
      <c r="E71" s="592"/>
      <c r="F71" s="169"/>
      <c r="G71" s="169"/>
      <c r="H71" s="169"/>
      <c r="I71" s="169"/>
      <c r="J71" s="342"/>
      <c r="K71" s="342"/>
      <c r="L71" s="354"/>
      <c r="M71" s="355"/>
    </row>
    <row r="72" spans="1:13">
      <c r="A72" s="31"/>
      <c r="B72" s="589" t="str">
        <f>Products!B366</f>
        <v>модель</v>
      </c>
      <c r="C72" s="165" t="str">
        <f>Products!C366</f>
        <v>покриття:</v>
      </c>
      <c r="D72" s="166" t="str">
        <f>Products!D366</f>
        <v>LOFT</v>
      </c>
      <c r="E72" s="96"/>
      <c r="F72" s="46"/>
      <c r="G72" s="46"/>
      <c r="H72" s="215"/>
      <c r="I72" s="215"/>
      <c r="J72" s="215"/>
      <c r="K72" s="356"/>
      <c r="L72" s="340" t="str">
        <f>Products!B373</f>
        <v>вентиляційні віддушини (1ряд)</v>
      </c>
      <c r="M72" s="357">
        <f>Products!E373</f>
        <v>250</v>
      </c>
    </row>
    <row r="73" spans="1:13">
      <c r="A73" s="31"/>
      <c r="B73" s="589"/>
      <c r="C73" s="156" t="str">
        <f>Products!C367</f>
        <v>заповнення:</v>
      </c>
      <c r="D73" s="167" t="str">
        <f>Products!D367</f>
        <v>сотове заповнення</v>
      </c>
      <c r="E73" s="96"/>
      <c r="F73" s="145"/>
      <c r="G73" s="145"/>
      <c r="H73" s="215"/>
      <c r="I73" s="215"/>
      <c r="J73" s="215"/>
      <c r="K73" s="347"/>
      <c r="L73" s="341" t="str">
        <f>Products!B374</f>
        <v>вентиляційний підріз</v>
      </c>
      <c r="M73" s="348">
        <f>Products!E374</f>
        <v>170.00000000000003</v>
      </c>
    </row>
    <row r="74" spans="1:13" ht="12.75" customHeight="1">
      <c r="A74" s="31"/>
      <c r="B74" s="590"/>
      <c r="C74" s="157"/>
      <c r="D74" s="160"/>
      <c r="E74" s="96"/>
      <c r="F74" s="158"/>
      <c r="G74" s="159"/>
      <c r="H74" s="215"/>
      <c r="I74" s="215"/>
      <c r="J74" s="215"/>
      <c r="K74" s="347"/>
      <c r="L74" s="341" t="str">
        <f>Products!B375</f>
        <v>третя завіса</v>
      </c>
      <c r="M74" s="348">
        <f>Products!E375</f>
        <v>80</v>
      </c>
    </row>
    <row r="75" spans="1:13">
      <c r="A75" s="31"/>
      <c r="B75" s="49" t="str">
        <f>Products!B369</f>
        <v>1.0.</v>
      </c>
      <c r="C75" s="328"/>
      <c r="D75" s="194">
        <f>Products!E369</f>
        <v>3870</v>
      </c>
      <c r="E75" s="96"/>
      <c r="F75" s="96"/>
      <c r="G75" s="96"/>
      <c r="H75" s="222"/>
      <c r="I75" s="222"/>
      <c r="J75" s="349"/>
      <c r="K75" s="347"/>
      <c r="L75" s="341" t="str">
        <f>Products!B376</f>
        <v>замок Soft</v>
      </c>
      <c r="M75" s="348">
        <f>Products!E376</f>
        <v>550</v>
      </c>
    </row>
    <row r="76" spans="1:13">
      <c r="A76" s="31"/>
      <c r="E76" s="96"/>
      <c r="F76" s="96"/>
      <c r="G76" s="96"/>
      <c r="H76" s="222"/>
      <c r="I76" s="222"/>
      <c r="J76" s="349"/>
      <c r="K76" s="347"/>
      <c r="L76" s="341" t="str">
        <f>Products!B377</f>
        <v>замок Soft чорн.</v>
      </c>
      <c r="M76" s="348">
        <f>Products!E377</f>
        <v>680.00000000000011</v>
      </c>
    </row>
    <row r="77" spans="1:13">
      <c r="A77" s="31"/>
      <c r="E77" s="96"/>
      <c r="F77" s="96"/>
      <c r="G77" s="96"/>
      <c r="H77" s="222"/>
      <c r="I77" s="222"/>
      <c r="J77" s="349"/>
      <c r="K77" s="347"/>
      <c r="L77" s="341" t="str">
        <f>Products!B378</f>
        <v>замок Magnet</v>
      </c>
      <c r="M77" s="348">
        <f>Products!E378</f>
        <v>800.00000000000011</v>
      </c>
    </row>
    <row r="78" spans="1:13">
      <c r="A78" s="31"/>
      <c r="E78" s="96"/>
      <c r="F78" s="96"/>
      <c r="G78" s="96"/>
      <c r="H78" s="222"/>
      <c r="I78" s="222"/>
      <c r="J78" s="349"/>
      <c r="K78" s="347"/>
      <c r="L78" s="341" t="str">
        <f>Products!B379</f>
        <v>замок Magnet чорн.</v>
      </c>
      <c r="M78" s="348">
        <f>Products!E379</f>
        <v>1000</v>
      </c>
    </row>
    <row r="79" spans="1:13">
      <c r="A79" s="31"/>
      <c r="E79" s="96"/>
      <c r="F79" s="96"/>
      <c r="G79" s="96"/>
      <c r="H79" s="222"/>
      <c r="I79" s="222"/>
      <c r="J79" s="349"/>
      <c r="K79" s="347"/>
      <c r="L79" s="341" t="str">
        <f>Products!B380</f>
        <v>ручка-замок (для дверей купе)</v>
      </c>
      <c r="M79" s="348">
        <f>Products!E380</f>
        <v>560</v>
      </c>
    </row>
    <row r="80" spans="1:13">
      <c r="A80" s="31"/>
      <c r="E80" s="96"/>
      <c r="F80" s="96"/>
      <c r="G80" s="96"/>
      <c r="H80" s="222"/>
      <c r="I80" s="222"/>
      <c r="J80" s="349"/>
      <c r="K80" s="347"/>
      <c r="L80" s="341" t="str">
        <f>Products!B381</f>
        <v>циліндр несиметричний</v>
      </c>
      <c r="M80" s="348">
        <f>Products!E381</f>
        <v>390</v>
      </c>
    </row>
    <row r="81" spans="1:13">
      <c r="A81" s="31"/>
      <c r="F81" s="96"/>
      <c r="G81" s="96"/>
      <c r="H81" s="222"/>
      <c r="I81" s="222"/>
      <c r="J81" s="349"/>
      <c r="K81" s="347"/>
      <c r="L81" s="341" t="str">
        <f>Products!B382</f>
        <v>завіса Prestige (1 шт)</v>
      </c>
      <c r="M81" s="348">
        <f>Products!E382</f>
        <v>260</v>
      </c>
    </row>
    <row r="82" spans="1:13">
      <c r="C82" s="34"/>
      <c r="D82" s="34"/>
      <c r="E82" s="34"/>
      <c r="J82" s="352"/>
      <c r="K82" s="347"/>
      <c r="L82" s="341" t="str">
        <f>Products!B383</f>
        <v>накладка на завіси (1 к-т)</v>
      </c>
      <c r="M82" s="348">
        <f>Products!E383</f>
        <v>80</v>
      </c>
    </row>
    <row r="83" spans="1:13" ht="21">
      <c r="C83" s="34"/>
      <c r="D83" s="34"/>
      <c r="E83" s="34"/>
      <c r="J83" s="352"/>
      <c r="K83" s="347"/>
      <c r="L83" s="341" t="str">
        <f>Products!B384</f>
        <v>дверна ручка</v>
      </c>
      <c r="M83" s="348" t="str">
        <f>Products!E384</f>
        <v>див. Таблицю Ручки</v>
      </c>
    </row>
    <row r="84" spans="1:13">
      <c r="C84" s="34"/>
      <c r="D84" s="34"/>
      <c r="E84" s="34"/>
      <c r="J84" s="352"/>
      <c r="K84" s="347"/>
      <c r="L84" s="341" t="str">
        <f>Products!B385</f>
        <v>ДСП трубчасте</v>
      </c>
      <c r="M84" s="348">
        <f>Products!E385</f>
        <v>1300.0000000000002</v>
      </c>
    </row>
    <row r="85" spans="1:13">
      <c r="B85" s="591" t="str">
        <f>TITLE!C13</f>
        <v>Полотна каркасно-щитові: ІДЕЯ-АЛЮМ</v>
      </c>
      <c r="C85" s="592"/>
      <c r="D85" s="592"/>
      <c r="E85" s="592"/>
      <c r="F85" s="169"/>
      <c r="G85" s="169"/>
      <c r="H85" s="169"/>
      <c r="I85" s="169"/>
      <c r="J85" s="342"/>
      <c r="K85" s="342"/>
      <c r="L85" s="354"/>
      <c r="M85" s="355"/>
    </row>
    <row r="86" spans="1:13">
      <c r="B86" s="589" t="str">
        <f>Products!B414</f>
        <v>модель</v>
      </c>
      <c r="C86" s="165" t="str">
        <f>Products!C414</f>
        <v>покриття:</v>
      </c>
      <c r="D86" s="166" t="str">
        <f>Products!D414</f>
        <v>SIMPL / V-CELL</v>
      </c>
      <c r="E86" s="166" t="str">
        <f>Products!F414</f>
        <v>UNI-MAT</v>
      </c>
      <c r="F86" s="166" t="str">
        <f>Products!H414</f>
        <v>RESIST</v>
      </c>
      <c r="G86" s="46"/>
      <c r="H86" s="215"/>
      <c r="I86" s="215"/>
      <c r="J86" s="215"/>
      <c r="K86" s="344"/>
      <c r="L86" s="523" t="str">
        <f>Products!B422</f>
        <v>вентиляційні віддушини (1ряд)</v>
      </c>
      <c r="M86" s="366">
        <f>Products!E422</f>
        <v>250</v>
      </c>
    </row>
    <row r="87" spans="1:13" ht="21">
      <c r="B87" s="589"/>
      <c r="C87" s="165" t="str">
        <f>Products!C415</f>
        <v>заповнення:</v>
      </c>
      <c r="D87" s="166" t="str">
        <f>Products!D415</f>
        <v>сотове заповнення</v>
      </c>
      <c r="E87" s="166" t="str">
        <f>Products!F415</f>
        <v>сотове заповнення</v>
      </c>
      <c r="F87" s="166" t="str">
        <f>Products!H415</f>
        <v>сотове заповнення</v>
      </c>
      <c r="G87" s="145"/>
      <c r="H87" s="215"/>
      <c r="I87" s="215"/>
      <c r="J87" s="215"/>
      <c r="K87" s="347"/>
      <c r="L87" s="488" t="str">
        <f>Products!B423</f>
        <v>замок Magnet чорн.</v>
      </c>
      <c r="M87" s="375">
        <f>Products!E423</f>
        <v>1000</v>
      </c>
    </row>
    <row r="88" spans="1:13" ht="21">
      <c r="B88" s="590"/>
      <c r="C88" s="165" t="str">
        <f>Products!C416</f>
        <v>скління:</v>
      </c>
      <c r="D88" s="166"/>
      <c r="E88" s="166"/>
      <c r="F88" s="166"/>
      <c r="G88" s="159"/>
      <c r="H88" s="215"/>
      <c r="I88" s="215"/>
      <c r="J88" s="215"/>
      <c r="K88" s="489"/>
      <c r="L88" s="490" t="str">
        <f>Products!B424</f>
        <v>дверна ручка</v>
      </c>
      <c r="M88" s="368" t="str">
        <f>Products!E424</f>
        <v>див. Таблицю Ручки</v>
      </c>
    </row>
    <row r="89" spans="1:13">
      <c r="B89" s="49">
        <f>Products!B417</f>
        <v>1</v>
      </c>
      <c r="C89" s="328"/>
      <c r="D89" s="194">
        <f>Products!E417</f>
        <v>4490</v>
      </c>
      <c r="E89" s="194">
        <f>Products!G417</f>
        <v>4860</v>
      </c>
      <c r="F89" s="194">
        <f>Products!I417</f>
        <v>5170.0000000000009</v>
      </c>
      <c r="G89" s="96"/>
      <c r="H89" s="222"/>
      <c r="I89" s="222"/>
      <c r="J89" s="349"/>
      <c r="K89" s="499"/>
      <c r="L89" s="500"/>
      <c r="M89" s="530"/>
    </row>
    <row r="90" spans="1:13">
      <c r="B90" s="49">
        <f>Products!B418</f>
        <v>2</v>
      </c>
      <c r="C90" s="328"/>
      <c r="D90" s="194">
        <f>Products!E418</f>
        <v>4890</v>
      </c>
      <c r="E90" s="194">
        <f>Products!G418</f>
        <v>5260.0000000000009</v>
      </c>
      <c r="F90" s="194">
        <f>Products!I418</f>
        <v>5570</v>
      </c>
      <c r="G90" s="96"/>
      <c r="H90" s="222"/>
      <c r="I90" s="222"/>
      <c r="J90" s="349"/>
      <c r="K90" s="483"/>
      <c r="L90" s="484"/>
      <c r="M90" s="485"/>
    </row>
    <row r="91" spans="1:13">
      <c r="B91" s="49"/>
      <c r="C91" s="529"/>
      <c r="D91" s="196"/>
      <c r="E91" s="196"/>
      <c r="F91" s="196"/>
      <c r="G91" s="96"/>
      <c r="H91" s="222"/>
      <c r="I91" s="222"/>
      <c r="J91" s="349"/>
      <c r="K91" s="531"/>
      <c r="L91" s="532"/>
      <c r="M91" s="524"/>
    </row>
    <row r="92" spans="1:13" ht="12.75" customHeight="1">
      <c r="B92" s="591" t="str">
        <f>Products!B463</f>
        <v>Полотна збірні: СОХО</v>
      </c>
      <c r="C92" s="592"/>
      <c r="D92" s="592"/>
      <c r="E92" s="592"/>
      <c r="F92" s="169"/>
      <c r="G92" s="169"/>
      <c r="H92" s="169"/>
      <c r="I92" s="169"/>
      <c r="J92" s="342"/>
      <c r="K92" s="491"/>
      <c r="L92" s="486"/>
      <c r="M92" s="487"/>
    </row>
    <row r="93" spans="1:13">
      <c r="B93" s="605" t="str">
        <f>Products!B465</f>
        <v>модель</v>
      </c>
      <c r="C93" s="473" t="str">
        <f>Products!C465</f>
        <v>покриття:</v>
      </c>
      <c r="D93" s="509" t="str">
        <f>Products!D465</f>
        <v>Verto-CELL</v>
      </c>
      <c r="E93" s="166" t="str">
        <f>Products!F465</f>
        <v>UNI-MAT</v>
      </c>
      <c r="F93" s="510" t="str">
        <f>Products!H465</f>
        <v>RESIST</v>
      </c>
      <c r="G93" s="510" t="str">
        <f>Products!J465</f>
        <v>Verto LINE-3D</v>
      </c>
      <c r="H93" s="510" t="str">
        <f>Products!L465</f>
        <v>ЕКО Шпон</v>
      </c>
      <c r="I93" s="215"/>
      <c r="J93" s="215"/>
      <c r="K93" s="356"/>
      <c r="L93" s="340" t="str">
        <f>Products!B475</f>
        <v>полотно розміром 100</v>
      </c>
      <c r="M93" s="525">
        <f>Products!E475</f>
        <v>720</v>
      </c>
    </row>
    <row r="94" spans="1:13" ht="22.5">
      <c r="B94" s="603"/>
      <c r="C94" s="474" t="str">
        <f>Products!C466</f>
        <v>заповнення:</v>
      </c>
      <c r="D94" s="514" t="str">
        <f>Products!D466</f>
        <v>клеєний сосновий брус</v>
      </c>
      <c r="E94" s="167" t="str">
        <f>Products!F466</f>
        <v>клеєний сосновий брус</v>
      </c>
      <c r="F94" s="512" t="str">
        <f>Products!H466</f>
        <v>клеєний сосновий брус</v>
      </c>
      <c r="G94" s="512" t="str">
        <f>Products!J466</f>
        <v>клеєний сосновий брус</v>
      </c>
      <c r="H94" s="512" t="str">
        <f>Products!L466</f>
        <v>клеєний сосновий брус</v>
      </c>
      <c r="I94" s="215"/>
      <c r="J94" s="215"/>
      <c r="K94" s="347"/>
      <c r="L94" s="341" t="str">
        <f>Products!B476</f>
        <v>вентиляційний підріз</v>
      </c>
      <c r="M94" s="372">
        <f>Products!E476</f>
        <v>170.00000000000003</v>
      </c>
    </row>
    <row r="95" spans="1:13" ht="15.6" customHeight="1">
      <c r="B95" s="604"/>
      <c r="C95" s="477" t="str">
        <f>Products!C467</f>
        <v>скління:</v>
      </c>
      <c r="D95" s="507" t="str">
        <f>Products!D467</f>
        <v>Сатин</v>
      </c>
      <c r="E95" s="160" t="str">
        <f>Products!F467</f>
        <v>Сатин</v>
      </c>
      <c r="F95" s="508" t="str">
        <f>Products!H467</f>
        <v>Сатин</v>
      </c>
      <c r="G95" s="508" t="str">
        <f>Products!J467</f>
        <v>Сатин</v>
      </c>
      <c r="H95" s="508" t="str">
        <f>Products!L467</f>
        <v>Сатин</v>
      </c>
      <c r="I95" s="215"/>
      <c r="J95" s="215"/>
      <c r="K95" s="347"/>
      <c r="L95" s="341" t="str">
        <f>Products!B477</f>
        <v>скло Графіт / Бронза</v>
      </c>
      <c r="M95" s="372">
        <f>Products!E477</f>
        <v>550</v>
      </c>
    </row>
    <row r="96" spans="1:13">
      <c r="B96" s="113" t="str">
        <f>Products!B468</f>
        <v>1.0 - 1.1</v>
      </c>
      <c r="C96" s="172"/>
      <c r="D96" s="191">
        <f>Products!E468</f>
        <v>8890</v>
      </c>
      <c r="E96" s="184">
        <f>Products!G468</f>
        <v>9190</v>
      </c>
      <c r="F96" s="185">
        <f>Products!I468</f>
        <v>9490</v>
      </c>
      <c r="G96" s="185">
        <f>Products!K468</f>
        <v>9810</v>
      </c>
      <c r="H96" s="185">
        <f>Products!M468</f>
        <v>9990</v>
      </c>
      <c r="I96" s="31"/>
      <c r="J96" s="360"/>
      <c r="K96" s="347"/>
      <c r="L96" s="341" t="str">
        <f>Products!B478</f>
        <v>замок Soft</v>
      </c>
      <c r="M96" s="372">
        <f>Products!E478</f>
        <v>550</v>
      </c>
    </row>
    <row r="97" spans="2:13">
      <c r="B97" s="113" t="str">
        <f>Products!B469</f>
        <v>2.0 - 2.1</v>
      </c>
      <c r="C97" s="163"/>
      <c r="D97" s="191">
        <f>Products!E469</f>
        <v>8890</v>
      </c>
      <c r="E97" s="184">
        <f>Products!G469</f>
        <v>9190</v>
      </c>
      <c r="F97" s="185">
        <f>Products!I469</f>
        <v>9490</v>
      </c>
      <c r="G97" s="185">
        <f>Products!K469</f>
        <v>9810</v>
      </c>
      <c r="H97" s="185">
        <f>Products!M469</f>
        <v>9990</v>
      </c>
      <c r="I97" s="31"/>
      <c r="J97" s="360"/>
      <c r="K97" s="347"/>
      <c r="L97" s="341" t="str">
        <f>Products!B479</f>
        <v>замок Soft чорн.</v>
      </c>
      <c r="M97" s="372">
        <f>Products!E479</f>
        <v>680.00000000000011</v>
      </c>
    </row>
    <row r="98" spans="2:13">
      <c r="B98" s="113" t="str">
        <f>Products!B470</f>
        <v>3.0 - 3.1</v>
      </c>
      <c r="C98" s="163"/>
      <c r="D98" s="191">
        <f>Products!E470</f>
        <v>8890</v>
      </c>
      <c r="E98" s="184">
        <f>Products!G470</f>
        <v>9190</v>
      </c>
      <c r="F98" s="185">
        <f>Products!I470</f>
        <v>9490</v>
      </c>
      <c r="G98" s="185">
        <f>Products!K470</f>
        <v>9810</v>
      </c>
      <c r="H98" s="185">
        <f>Products!M470</f>
        <v>9990</v>
      </c>
      <c r="I98" s="31"/>
      <c r="J98" s="360"/>
      <c r="K98" s="347"/>
      <c r="L98" s="341" t="str">
        <f>Products!B480</f>
        <v>замок Magnet</v>
      </c>
      <c r="M98" s="372">
        <f>Products!E480</f>
        <v>800.00000000000011</v>
      </c>
    </row>
    <row r="99" spans="2:13">
      <c r="B99" s="280" t="str">
        <f>Products!B471</f>
        <v>4.0 - 4.1</v>
      </c>
      <c r="C99" s="534"/>
      <c r="D99" s="192">
        <f>Products!E471</f>
        <v>8890</v>
      </c>
      <c r="E99" s="186">
        <f>Products!G471</f>
        <v>9190</v>
      </c>
      <c r="F99" s="187">
        <f>Products!I471</f>
        <v>9490</v>
      </c>
      <c r="G99" s="187">
        <f>Products!K471</f>
        <v>9810</v>
      </c>
      <c r="H99" s="187">
        <f>Products!M471</f>
        <v>9990</v>
      </c>
      <c r="I99" s="31"/>
      <c r="J99" s="360"/>
      <c r="K99" s="347"/>
      <c r="L99" s="341" t="str">
        <f>Products!B481</f>
        <v>замок Magnet чорн.</v>
      </c>
      <c r="M99" s="372">
        <f>Products!E481</f>
        <v>1000</v>
      </c>
    </row>
    <row r="100" spans="2:13">
      <c r="B100" s="174"/>
      <c r="C100" s="533"/>
      <c r="D100" s="198"/>
      <c r="E100" s="198"/>
      <c r="H100" s="31"/>
      <c r="I100" s="31"/>
      <c r="J100" s="360"/>
      <c r="K100" s="347"/>
      <c r="L100" s="341" t="str">
        <f>Products!B482</f>
        <v>ручка-замок (для дверей купе)</v>
      </c>
      <c r="M100" s="372">
        <f>Products!E482</f>
        <v>560</v>
      </c>
    </row>
    <row r="101" spans="2:13">
      <c r="C101" s="34"/>
      <c r="D101" s="34"/>
      <c r="E101" s="34"/>
      <c r="H101" s="31"/>
      <c r="I101" s="31"/>
      <c r="J101" s="360"/>
      <c r="K101" s="347"/>
      <c r="L101" s="341" t="str">
        <f>Products!B483</f>
        <v>циліндр несиметричний</v>
      </c>
      <c r="M101" s="372">
        <f>Products!E483</f>
        <v>390</v>
      </c>
    </row>
    <row r="102" spans="2:13">
      <c r="C102" s="34"/>
      <c r="D102" s="34"/>
      <c r="E102" s="34"/>
      <c r="H102" s="31"/>
      <c r="I102" s="31"/>
      <c r="J102" s="360"/>
      <c r="K102" s="347"/>
      <c r="L102" s="341" t="str">
        <f>Products!B484</f>
        <v>завіса Prestige (1 шт)</v>
      </c>
      <c r="M102" s="372">
        <f>Products!E484</f>
        <v>260</v>
      </c>
    </row>
    <row r="103" spans="2:13">
      <c r="C103" s="34"/>
      <c r="D103" s="34"/>
      <c r="E103" s="34"/>
      <c r="J103" s="352"/>
      <c r="K103" s="347"/>
      <c r="L103" s="341" t="str">
        <f>Products!B485</f>
        <v>накладка на завіси (1 к-т)</v>
      </c>
      <c r="M103" s="372">
        <f>Products!E485</f>
        <v>80</v>
      </c>
    </row>
    <row r="104" spans="2:13" ht="21">
      <c r="C104" s="34"/>
      <c r="D104" s="34"/>
      <c r="E104" s="34"/>
      <c r="J104" s="352"/>
      <c r="K104" s="489"/>
      <c r="L104" s="526" t="str">
        <f>Products!B486</f>
        <v>дверна ручка</v>
      </c>
      <c r="M104" s="370" t="str">
        <f>Products!E486</f>
        <v>див. Таблицю Ручки</v>
      </c>
    </row>
    <row r="105" spans="2:13">
      <c r="B105" s="591" t="str">
        <f>Products!B510</f>
        <v>Полотна збірні: МОДЕНА</v>
      </c>
      <c r="C105" s="592"/>
      <c r="D105" s="592"/>
      <c r="E105" s="592"/>
      <c r="F105" s="169"/>
      <c r="G105" s="169"/>
      <c r="H105" s="169"/>
      <c r="I105" s="169"/>
      <c r="J105" s="342"/>
      <c r="K105" s="342"/>
      <c r="L105" s="354"/>
      <c r="M105" s="355"/>
    </row>
    <row r="106" spans="2:13">
      <c r="B106" s="602" t="str">
        <f>Products!B512</f>
        <v>модель</v>
      </c>
      <c r="C106" s="520" t="str">
        <f>Products!C512</f>
        <v>покриття:</v>
      </c>
      <c r="D106" s="521" t="str">
        <f>Products!D512</f>
        <v>UNI-MAT</v>
      </c>
      <c r="E106" s="522" t="str">
        <f>Products!F512</f>
        <v>RESIST</v>
      </c>
      <c r="F106" s="516"/>
      <c r="G106" s="516"/>
      <c r="H106" s="516"/>
      <c r="I106" s="215"/>
      <c r="J106" s="215"/>
      <c r="K106" s="344"/>
      <c r="L106" s="345" t="str">
        <f>Products!B522</f>
        <v>полотно розміром 100</v>
      </c>
      <c r="M106" s="346">
        <f>Products!E522</f>
        <v>720</v>
      </c>
    </row>
    <row r="107" spans="2:13" ht="19.899999999999999" customHeight="1">
      <c r="B107" s="603"/>
      <c r="C107" s="474" t="str">
        <f>Products!C513</f>
        <v>заповнення:</v>
      </c>
      <c r="D107" s="475" t="str">
        <f>Products!D513</f>
        <v>клеєний сосновий брус</v>
      </c>
      <c r="E107" s="476" t="str">
        <f>Products!F513</f>
        <v>клеєний сосновий брус</v>
      </c>
      <c r="F107" s="513"/>
      <c r="G107" s="513"/>
      <c r="H107" s="513"/>
      <c r="I107" s="215"/>
      <c r="J107" s="215"/>
      <c r="K107" s="347"/>
      <c r="L107" s="345" t="str">
        <f>Products!B523</f>
        <v>вентиляційний підріз</v>
      </c>
      <c r="M107" s="346">
        <f>Products!E523</f>
        <v>170.00000000000003</v>
      </c>
    </row>
    <row r="108" spans="2:13" ht="15.6" customHeight="1">
      <c r="B108" s="604"/>
      <c r="C108" s="477" t="str">
        <f>Products!C514</f>
        <v>скління:</v>
      </c>
      <c r="D108" s="478" t="str">
        <f>Products!D514</f>
        <v>Сатин</v>
      </c>
      <c r="E108" s="479" t="str">
        <f>Products!F514</f>
        <v>Сатин</v>
      </c>
      <c r="F108" s="513"/>
      <c r="G108" s="513"/>
      <c r="H108" s="513"/>
      <c r="I108" s="215"/>
      <c r="J108" s="215"/>
      <c r="K108" s="347"/>
      <c r="L108" s="345" t="str">
        <f>Products!B524</f>
        <v>скло Графіт / Бронза</v>
      </c>
      <c r="M108" s="346">
        <f>Products!E524</f>
        <v>550</v>
      </c>
    </row>
    <row r="109" spans="2:13">
      <c r="B109" s="113" t="str">
        <f>Products!B515</f>
        <v>1.0-1.1</v>
      </c>
      <c r="C109" s="172"/>
      <c r="D109" s="291">
        <f>Products!E515</f>
        <v>7020</v>
      </c>
      <c r="E109" s="291">
        <f>Products!G515</f>
        <v>7300.0000000000009</v>
      </c>
      <c r="F109" s="198"/>
      <c r="G109" s="198"/>
      <c r="H109" s="198"/>
      <c r="I109" s="31"/>
      <c r="J109" s="360"/>
      <c r="K109" s="347"/>
      <c r="L109" s="345" t="str">
        <f>Products!B525</f>
        <v>замок Soft</v>
      </c>
      <c r="M109" s="346">
        <f>Products!E525</f>
        <v>550</v>
      </c>
    </row>
    <row r="110" spans="2:13">
      <c r="B110" s="113" t="str">
        <f>Products!B516</f>
        <v>2.0-2.1</v>
      </c>
      <c r="C110" s="163"/>
      <c r="D110" s="291">
        <f>Products!E516</f>
        <v>7290</v>
      </c>
      <c r="E110" s="291">
        <f>Products!G516</f>
        <v>7580</v>
      </c>
      <c r="F110" s="198"/>
      <c r="G110" s="198"/>
      <c r="H110" s="198"/>
      <c r="I110" s="31"/>
      <c r="J110" s="360"/>
      <c r="K110" s="347"/>
      <c r="L110" s="345" t="str">
        <f>Products!B526</f>
        <v>замок Soft чорн.</v>
      </c>
      <c r="M110" s="346">
        <f>Products!E526</f>
        <v>680.00000000000011</v>
      </c>
    </row>
    <row r="111" spans="2:13">
      <c r="B111" s="113" t="str">
        <f>Products!B517</f>
        <v>2А.1</v>
      </c>
      <c r="C111" s="163"/>
      <c r="D111" s="291">
        <f>Products!E517</f>
        <v>7060.0000000000009</v>
      </c>
      <c r="E111" s="291">
        <f>Products!G517</f>
        <v>7340</v>
      </c>
      <c r="F111" s="198"/>
      <c r="G111" s="198"/>
      <c r="H111" s="198"/>
      <c r="I111" s="31"/>
      <c r="J111" s="360"/>
      <c r="K111" s="347"/>
      <c r="L111" s="345" t="str">
        <f>Products!B527</f>
        <v>замок Magnet</v>
      </c>
      <c r="M111" s="346">
        <f>Products!E527</f>
        <v>800.00000000000011</v>
      </c>
    </row>
    <row r="112" spans="2:13">
      <c r="B112" s="469" t="str">
        <f>Products!B518</f>
        <v>3.0-3.1</v>
      </c>
      <c r="C112" s="470"/>
      <c r="D112" s="471">
        <f>Products!E518</f>
        <v>7590</v>
      </c>
      <c r="E112" s="471">
        <f>Products!G518</f>
        <v>7900</v>
      </c>
      <c r="F112" s="96"/>
      <c r="G112" s="96"/>
      <c r="H112" s="31"/>
      <c r="I112" s="31"/>
      <c r="J112" s="360"/>
      <c r="K112" s="347"/>
      <c r="L112" s="345" t="str">
        <f>Products!B528</f>
        <v>замок Magnet чорн.</v>
      </c>
      <c r="M112" s="346">
        <f>Products!E528</f>
        <v>1000</v>
      </c>
    </row>
    <row r="113" spans="2:13">
      <c r="B113" s="312"/>
      <c r="C113" s="472"/>
      <c r="D113" s="195"/>
      <c r="E113" s="195"/>
      <c r="H113" s="31"/>
      <c r="I113" s="31"/>
      <c r="J113" s="360"/>
      <c r="K113" s="347"/>
      <c r="L113" s="345" t="str">
        <f>Products!B529</f>
        <v>ручка-замок (для дверей купе)</v>
      </c>
      <c r="M113" s="346">
        <f>Products!E529</f>
        <v>560</v>
      </c>
    </row>
    <row r="114" spans="2:13">
      <c r="C114" s="34"/>
      <c r="D114" s="34"/>
      <c r="E114" s="34"/>
      <c r="H114" s="31"/>
      <c r="I114" s="31"/>
      <c r="J114" s="360"/>
      <c r="K114" s="347"/>
      <c r="L114" s="345" t="str">
        <f>Products!B530</f>
        <v>циліндр несиметричний</v>
      </c>
      <c r="M114" s="346">
        <f>Products!E530</f>
        <v>390</v>
      </c>
    </row>
    <row r="115" spans="2:13">
      <c r="C115" s="34"/>
      <c r="D115" s="34"/>
      <c r="E115" s="34"/>
      <c r="H115" s="31"/>
      <c r="I115" s="31"/>
      <c r="J115" s="360"/>
      <c r="K115" s="347"/>
      <c r="L115" s="345" t="str">
        <f>Products!B531</f>
        <v>завіса Prestige (1 шт)</v>
      </c>
      <c r="M115" s="346">
        <f>Products!E531</f>
        <v>260</v>
      </c>
    </row>
    <row r="116" spans="2:13">
      <c r="C116" s="34"/>
      <c r="D116" s="34"/>
      <c r="E116" s="34"/>
      <c r="J116" s="352"/>
      <c r="K116" s="347"/>
      <c r="L116" s="345" t="str">
        <f>Products!B532</f>
        <v>накладка на завіси (1 к-т)</v>
      </c>
      <c r="M116" s="346">
        <f>Products!E532</f>
        <v>80</v>
      </c>
    </row>
    <row r="117" spans="2:13" ht="21">
      <c r="C117" s="34"/>
      <c r="D117" s="34"/>
      <c r="E117" s="34"/>
      <c r="J117" s="352"/>
      <c r="K117" s="519"/>
      <c r="L117" s="527" t="str">
        <f>Products!B533</f>
        <v>дверна ручка</v>
      </c>
      <c r="M117" s="528" t="str">
        <f>Products!E533</f>
        <v>див. Таблицю Ручки</v>
      </c>
    </row>
    <row r="118" spans="2:13">
      <c r="B118" s="591" t="str">
        <f>Products!B582</f>
        <v>Полотна збірні: КЛАСІК</v>
      </c>
      <c r="C118" s="592"/>
      <c r="D118" s="592"/>
      <c r="E118" s="592"/>
      <c r="F118" s="169"/>
      <c r="G118" s="169"/>
      <c r="H118" s="169"/>
      <c r="I118" s="169"/>
      <c r="J118" s="342"/>
      <c r="K118" s="342"/>
      <c r="L118" s="354"/>
      <c r="M118" s="355"/>
    </row>
    <row r="119" spans="2:13">
      <c r="B119" s="599" t="str">
        <f>Products!B584</f>
        <v>модель</v>
      </c>
      <c r="C119" s="165" t="str">
        <f>Products!C584</f>
        <v>покриття:</v>
      </c>
      <c r="D119" s="168" t="str">
        <f>Products!D584</f>
        <v>UNI-MAT</v>
      </c>
      <c r="E119" s="168" t="str">
        <f>Products!F584</f>
        <v>RESIST</v>
      </c>
      <c r="F119" s="145"/>
      <c r="G119" s="145"/>
      <c r="H119" s="145"/>
      <c r="I119" s="215"/>
      <c r="J119" s="215"/>
      <c r="K119" s="344"/>
      <c r="L119" s="345" t="str">
        <f>Products!B595</f>
        <v>полотно розміром 100</v>
      </c>
      <c r="M119" s="346">
        <f>Products!E595</f>
        <v>720</v>
      </c>
    </row>
    <row r="120" spans="2:13" ht="22.5">
      <c r="B120" s="600"/>
      <c r="C120" s="156" t="str">
        <f>Products!C585</f>
        <v>заповнення:</v>
      </c>
      <c r="D120" s="167" t="str">
        <f>Products!D585</f>
        <v>клеєний сосновий брус</v>
      </c>
      <c r="E120" s="167" t="str">
        <f>Products!F585</f>
        <v>клеєний сосновий брус</v>
      </c>
      <c r="F120" s="413"/>
      <c r="G120" s="413"/>
      <c r="H120" s="413"/>
      <c r="I120" s="215"/>
      <c r="J120" s="215"/>
      <c r="K120" s="347"/>
      <c r="L120" s="341" t="str">
        <f>Products!B596</f>
        <v>вентиляційний підріз</v>
      </c>
      <c r="M120" s="348">
        <f>Products!E596</f>
        <v>170.00000000000003</v>
      </c>
    </row>
    <row r="121" spans="2:13">
      <c r="B121" s="601"/>
      <c r="C121" s="157" t="str">
        <f>Products!C586</f>
        <v>скління:</v>
      </c>
      <c r="D121" s="160" t="str">
        <f>Products!D586</f>
        <v>Сатин</v>
      </c>
      <c r="E121" s="160" t="str">
        <f>Products!F586</f>
        <v>Сатин</v>
      </c>
      <c r="F121" s="413"/>
      <c r="G121" s="413"/>
      <c r="H121" s="413"/>
      <c r="I121" s="215"/>
      <c r="J121" s="215"/>
      <c r="K121" s="347"/>
      <c r="L121" s="341" t="str">
        <f>Products!B597</f>
        <v>скло Графіт / Бронза</v>
      </c>
      <c r="M121" s="348">
        <f>Products!E597</f>
        <v>550</v>
      </c>
    </row>
    <row r="122" spans="2:13">
      <c r="B122" s="113" t="str">
        <f>Products!B587</f>
        <v>1.0-1.1</v>
      </c>
      <c r="C122" s="172"/>
      <c r="D122" s="291">
        <f>Products!E587</f>
        <v>7020</v>
      </c>
      <c r="E122" s="291">
        <f>Products!G587</f>
        <v>7300.0000000000009</v>
      </c>
      <c r="F122" s="198"/>
      <c r="G122" s="198"/>
      <c r="H122" s="198"/>
      <c r="I122" s="31"/>
      <c r="J122" s="360"/>
      <c r="K122" s="347"/>
      <c r="L122" s="341" t="str">
        <f>Products!B598</f>
        <v>замок Soft</v>
      </c>
      <c r="M122" s="348">
        <f>Products!E598</f>
        <v>550</v>
      </c>
    </row>
    <row r="123" spans="2:13">
      <c r="B123" s="16" t="str">
        <f>Products!B588</f>
        <v>1А.1</v>
      </c>
      <c r="C123" s="163"/>
      <c r="D123" s="184">
        <f>Products!E588</f>
        <v>6830</v>
      </c>
      <c r="E123" s="184">
        <f>Products!G588</f>
        <v>7100</v>
      </c>
      <c r="F123" s="198"/>
      <c r="G123" s="198"/>
      <c r="H123" s="198"/>
      <c r="I123" s="31"/>
      <c r="J123" s="360"/>
      <c r="K123" s="347"/>
      <c r="L123" s="341" t="str">
        <f>Products!B599</f>
        <v>замок Soft чорн.</v>
      </c>
      <c r="M123" s="348">
        <f>Products!E599</f>
        <v>680.00000000000011</v>
      </c>
    </row>
    <row r="124" spans="2:13">
      <c r="B124" s="16" t="str">
        <f>Products!B589</f>
        <v>2.0-2.1</v>
      </c>
      <c r="C124" s="163"/>
      <c r="D124" s="184">
        <f>Products!E589</f>
        <v>7290</v>
      </c>
      <c r="E124" s="184">
        <f>Products!G589</f>
        <v>7580</v>
      </c>
      <c r="F124" s="198"/>
      <c r="G124" s="198"/>
      <c r="H124" s="198"/>
      <c r="I124" s="31"/>
      <c r="J124" s="360"/>
      <c r="K124" s="347"/>
      <c r="L124" s="341" t="str">
        <f>Products!B600</f>
        <v>замок Magnet</v>
      </c>
      <c r="M124" s="348">
        <f>Products!E600</f>
        <v>800.00000000000011</v>
      </c>
    </row>
    <row r="125" spans="2:13">
      <c r="B125" s="16" t="str">
        <f>Products!B590</f>
        <v>2А.1</v>
      </c>
      <c r="C125" s="440"/>
      <c r="D125" s="184">
        <f>Products!E590</f>
        <v>7060.0000000000009</v>
      </c>
      <c r="E125" s="184">
        <f>Products!G590</f>
        <v>7340</v>
      </c>
      <c r="F125" s="96"/>
      <c r="G125" s="96"/>
      <c r="H125" s="31"/>
      <c r="I125" s="31"/>
      <c r="J125" s="360"/>
      <c r="K125" s="347"/>
      <c r="L125" s="341" t="str">
        <f>Products!B601</f>
        <v>замок Magnet чорн.</v>
      </c>
      <c r="M125" s="348">
        <f>Products!E601</f>
        <v>1000</v>
      </c>
    </row>
    <row r="126" spans="2:13">
      <c r="B126" s="23" t="str">
        <f>Products!B591</f>
        <v>3.0-3.1</v>
      </c>
      <c r="C126" s="441"/>
      <c r="D126" s="186">
        <f>Products!E591</f>
        <v>7590</v>
      </c>
      <c r="E126" s="186">
        <f>Products!G591</f>
        <v>7900</v>
      </c>
      <c r="H126" s="31"/>
      <c r="I126" s="31"/>
      <c r="J126" s="360"/>
      <c r="K126" s="347"/>
      <c r="L126" s="341" t="str">
        <f>Products!B602</f>
        <v>ручка-замок (для дверей купе)</v>
      </c>
      <c r="M126" s="348">
        <f>Products!E602</f>
        <v>560</v>
      </c>
    </row>
    <row r="127" spans="2:13">
      <c r="C127" s="34"/>
      <c r="D127" s="34"/>
      <c r="E127" s="34"/>
      <c r="H127" s="31"/>
      <c r="I127" s="31"/>
      <c r="J127" s="360"/>
      <c r="K127" s="347"/>
      <c r="L127" s="341" t="str">
        <f>Products!B603</f>
        <v>циліндр несиметричний</v>
      </c>
      <c r="M127" s="348">
        <f>Products!E603</f>
        <v>390</v>
      </c>
    </row>
    <row r="128" spans="2:13">
      <c r="C128" s="34"/>
      <c r="D128" s="34"/>
      <c r="E128" s="34"/>
      <c r="H128" s="31"/>
      <c r="I128" s="31"/>
      <c r="J128" s="360"/>
      <c r="K128" s="347"/>
      <c r="L128" s="341" t="str">
        <f>Products!B604</f>
        <v>завіса Prestige (1 шт)</v>
      </c>
      <c r="M128" s="348">
        <f>Products!E604</f>
        <v>260</v>
      </c>
    </row>
    <row r="129" spans="2:13">
      <c r="C129" s="34"/>
      <c r="D129" s="34"/>
      <c r="E129" s="34"/>
      <c r="J129" s="352"/>
      <c r="K129" s="347"/>
      <c r="L129" s="341" t="str">
        <f>Products!B605</f>
        <v>накладка на завіси (1 к-т)</v>
      </c>
      <c r="M129" s="348">
        <f>Products!E605</f>
        <v>80</v>
      </c>
    </row>
    <row r="130" spans="2:13" ht="21">
      <c r="C130" s="34"/>
      <c r="D130" s="34"/>
      <c r="E130" s="34"/>
      <c r="J130" s="352"/>
      <c r="K130" s="347"/>
      <c r="L130" s="341" t="str">
        <f>Products!B606</f>
        <v>дверна ручка</v>
      </c>
      <c r="M130" s="348" t="str">
        <f>Products!E606</f>
        <v>див. Таблицю Ручки</v>
      </c>
    </row>
    <row r="131" spans="2:13">
      <c r="B131" s="591" t="str">
        <f>Products!B632</f>
        <v>Полотна збірні: ПРОВАНС</v>
      </c>
      <c r="C131" s="592"/>
      <c r="D131" s="592"/>
      <c r="E131" s="592"/>
      <c r="F131" s="169"/>
      <c r="G131" s="169"/>
      <c r="H131" s="169"/>
      <c r="I131" s="169"/>
      <c r="J131" s="342"/>
      <c r="K131" s="342"/>
      <c r="L131" s="354"/>
      <c r="M131" s="355"/>
    </row>
    <row r="132" spans="2:13">
      <c r="B132" s="602" t="str">
        <f>Products!B634</f>
        <v>модель</v>
      </c>
      <c r="C132" s="520" t="str">
        <f>Products!C634</f>
        <v>покриття:</v>
      </c>
      <c r="D132" s="521" t="str">
        <f>Products!D634</f>
        <v>UNI-MAT</v>
      </c>
      <c r="E132" s="522" t="str">
        <f>Products!F634</f>
        <v>RESIST</v>
      </c>
      <c r="F132" s="145"/>
      <c r="G132" s="145"/>
      <c r="H132" s="145"/>
      <c r="I132" s="215"/>
      <c r="J132" s="215"/>
      <c r="K132" s="344"/>
      <c r="L132" s="345" t="str">
        <f>Products!B644</f>
        <v>полотно розміром 100</v>
      </c>
      <c r="M132" s="346">
        <f>Products!E644</f>
        <v>720</v>
      </c>
    </row>
    <row r="133" spans="2:13" ht="19.899999999999999" customHeight="1">
      <c r="B133" s="603"/>
      <c r="C133" s="474" t="str">
        <f>Products!C635</f>
        <v>заповнення:</v>
      </c>
      <c r="D133" s="475" t="str">
        <f>Products!D635</f>
        <v>клеєний сосновий брус</v>
      </c>
      <c r="E133" s="476" t="str">
        <f>Products!F635</f>
        <v>клеєний сосновий брус</v>
      </c>
      <c r="F133" s="467"/>
      <c r="G133" s="467"/>
      <c r="H133" s="467"/>
      <c r="I133" s="215"/>
      <c r="J133" s="215"/>
      <c r="K133" s="347"/>
      <c r="L133" s="340" t="str">
        <f>Products!B645</f>
        <v>вентиляційний підріз</v>
      </c>
      <c r="M133" s="357">
        <f>Products!E645</f>
        <v>170.00000000000003</v>
      </c>
    </row>
    <row r="134" spans="2:13" ht="15.6" customHeight="1">
      <c r="B134" s="604"/>
      <c r="C134" s="477" t="str">
        <f>Products!C636</f>
        <v>скління:</v>
      </c>
      <c r="D134" s="478" t="str">
        <f>Products!D636</f>
        <v>Сатин</v>
      </c>
      <c r="E134" s="479" t="str">
        <f>Products!F636</f>
        <v>Сатин</v>
      </c>
      <c r="F134" s="467"/>
      <c r="G134" s="467"/>
      <c r="H134" s="467"/>
      <c r="I134" s="215"/>
      <c r="J134" s="215"/>
      <c r="K134" s="347"/>
      <c r="L134" s="340" t="str">
        <f>Products!B646</f>
        <v>скло Графіт / Бронза</v>
      </c>
      <c r="M134" s="357">
        <f>Products!E646</f>
        <v>550</v>
      </c>
    </row>
    <row r="135" spans="2:13">
      <c r="B135" s="113" t="str">
        <f>Products!B637</f>
        <v>1.0-1.1</v>
      </c>
      <c r="C135" s="172"/>
      <c r="D135" s="291">
        <f>Products!E637</f>
        <v>7020</v>
      </c>
      <c r="E135" s="291">
        <f>Products!G637</f>
        <v>7300.0000000000009</v>
      </c>
      <c r="F135" s="198"/>
      <c r="G135" s="198"/>
      <c r="H135" s="198"/>
      <c r="I135" s="31"/>
      <c r="J135" s="360"/>
      <c r="K135" s="347"/>
      <c r="L135" s="340" t="str">
        <f>Products!B647</f>
        <v>замок Soft</v>
      </c>
      <c r="M135" s="357">
        <f>Products!E647</f>
        <v>550</v>
      </c>
    </row>
    <row r="136" spans="2:13">
      <c r="B136" s="113" t="str">
        <f>Products!B638</f>
        <v>2.0-2.1</v>
      </c>
      <c r="C136" s="163"/>
      <c r="D136" s="291">
        <f>Products!E638</f>
        <v>7290</v>
      </c>
      <c r="E136" s="291">
        <f>Products!G638</f>
        <v>7580</v>
      </c>
      <c r="F136" s="198"/>
      <c r="G136" s="198"/>
      <c r="H136" s="198"/>
      <c r="I136" s="31"/>
      <c r="J136" s="360"/>
      <c r="K136" s="347"/>
      <c r="L136" s="340" t="str">
        <f>Products!B648</f>
        <v>замок Soft чорн.</v>
      </c>
      <c r="M136" s="357">
        <f>Products!E648</f>
        <v>680.00000000000011</v>
      </c>
    </row>
    <row r="137" spans="2:13">
      <c r="B137" s="113" t="str">
        <f>Products!B639</f>
        <v>2А.1</v>
      </c>
      <c r="C137" s="163"/>
      <c r="D137" s="291">
        <f>Products!E639</f>
        <v>7060.0000000000009</v>
      </c>
      <c r="E137" s="291">
        <f>Products!G639</f>
        <v>7340</v>
      </c>
      <c r="F137" s="198"/>
      <c r="G137" s="198"/>
      <c r="H137" s="198"/>
      <c r="I137" s="31"/>
      <c r="J137" s="360"/>
      <c r="K137" s="347"/>
      <c r="L137" s="340" t="str">
        <f>Products!B649</f>
        <v>замок Magnet</v>
      </c>
      <c r="M137" s="357">
        <f>Products!E649</f>
        <v>800.00000000000011</v>
      </c>
    </row>
    <row r="138" spans="2:13">
      <c r="B138" s="469" t="str">
        <f>Products!B640</f>
        <v>3.0-3.1</v>
      </c>
      <c r="C138" s="470"/>
      <c r="D138" s="471">
        <f>Products!E640</f>
        <v>7590</v>
      </c>
      <c r="E138" s="471">
        <f>Products!G640</f>
        <v>7900</v>
      </c>
      <c r="F138" s="96"/>
      <c r="G138" s="96"/>
      <c r="H138" s="31"/>
      <c r="I138" s="31"/>
      <c r="J138" s="360"/>
      <c r="K138" s="347"/>
      <c r="L138" s="340" t="str">
        <f>Products!B650</f>
        <v>замок Magnet чорн.</v>
      </c>
      <c r="M138" s="357">
        <f>Products!E650</f>
        <v>1000</v>
      </c>
    </row>
    <row r="139" spans="2:13">
      <c r="B139" s="312"/>
      <c r="C139" s="472"/>
      <c r="D139" s="195"/>
      <c r="E139" s="195"/>
      <c r="H139" s="31"/>
      <c r="I139" s="31"/>
      <c r="J139" s="360"/>
      <c r="K139" s="347"/>
      <c r="L139" s="340" t="str">
        <f>Products!B651</f>
        <v>ручка-замок (для дверей купе)</v>
      </c>
      <c r="M139" s="357">
        <f>Products!E651</f>
        <v>560</v>
      </c>
    </row>
    <row r="140" spans="2:13">
      <c r="C140" s="34"/>
      <c r="D140" s="34"/>
      <c r="E140" s="34"/>
      <c r="H140" s="31"/>
      <c r="I140" s="31"/>
      <c r="J140" s="360"/>
      <c r="K140" s="347"/>
      <c r="L140" s="340" t="str">
        <f>Products!B652</f>
        <v>циліндр несиметричний</v>
      </c>
      <c r="M140" s="357">
        <f>Products!E652</f>
        <v>390</v>
      </c>
    </row>
    <row r="141" spans="2:13">
      <c r="C141" s="34"/>
      <c r="D141" s="34"/>
      <c r="E141" s="34"/>
      <c r="H141" s="31"/>
      <c r="I141" s="31"/>
      <c r="J141" s="360"/>
      <c r="K141" s="347"/>
      <c r="L141" s="340" t="str">
        <f>Products!B653</f>
        <v>завіса Prestige (1 шт)</v>
      </c>
      <c r="M141" s="357">
        <f>Products!E653</f>
        <v>260</v>
      </c>
    </row>
    <row r="142" spans="2:13">
      <c r="C142" s="34"/>
      <c r="D142" s="34"/>
      <c r="E142" s="34"/>
      <c r="J142" s="352"/>
      <c r="K142" s="347"/>
      <c r="L142" s="340" t="str">
        <f>Products!B654</f>
        <v>накладка на завіси (1 к-т)</v>
      </c>
      <c r="M142" s="357">
        <f>Products!E654</f>
        <v>80</v>
      </c>
    </row>
    <row r="143" spans="2:13" ht="21">
      <c r="C143" s="34"/>
      <c r="D143" s="34"/>
      <c r="E143" s="34"/>
      <c r="J143" s="352"/>
      <c r="K143" s="347"/>
      <c r="L143" s="340" t="str">
        <f>Products!B655</f>
        <v>дверна ручка</v>
      </c>
      <c r="M143" s="357" t="str">
        <f>Products!E655</f>
        <v>див. Таблицю Ручки</v>
      </c>
    </row>
    <row r="144" spans="2:13" s="31" customFormat="1" ht="12.75" customHeight="1">
      <c r="B144" s="591" t="str">
        <f>TITLE!$C$18</f>
        <v>Полотна збірні: ЛАДА A</v>
      </c>
      <c r="C144" s="592"/>
      <c r="D144" s="592"/>
      <c r="E144" s="592"/>
      <c r="F144" s="169"/>
      <c r="G144" s="169"/>
      <c r="H144" s="169"/>
      <c r="I144" s="169"/>
      <c r="J144" s="342"/>
      <c r="K144" s="342"/>
      <c r="L144" s="354"/>
      <c r="M144" s="355"/>
    </row>
    <row r="145" spans="1:13" ht="24.75" customHeight="1">
      <c r="A145" s="31"/>
      <c r="B145" s="594" t="str">
        <f>Products!B684</f>
        <v>модель</v>
      </c>
      <c r="C145" s="155" t="str">
        <f>Products!C684</f>
        <v>покриття:</v>
      </c>
      <c r="D145" s="465" t="str">
        <f>Products!D684</f>
        <v>Verto-CELL</v>
      </c>
      <c r="E145" s="166" t="str">
        <f>Products!F684</f>
        <v>UNI-MAT</v>
      </c>
      <c r="F145" s="462" t="str">
        <f>Products!H684</f>
        <v>RESIST</v>
      </c>
      <c r="G145" s="462" t="str">
        <f>Products!J684</f>
        <v>Verto LINE-3D</v>
      </c>
      <c r="H145" s="462" t="str">
        <f>Products!L684</f>
        <v>ЕКО Шпон</v>
      </c>
      <c r="I145" s="215"/>
      <c r="J145" s="215"/>
      <c r="K145" s="356"/>
      <c r="L145" s="340" t="str">
        <f>Products!B693</f>
        <v>полотно розміром 100</v>
      </c>
      <c r="M145" s="357">
        <f>Products!E693</f>
        <v>720</v>
      </c>
    </row>
    <row r="146" spans="1:13" ht="24.75" customHeight="1">
      <c r="A146" s="31"/>
      <c r="B146" s="589"/>
      <c r="C146" s="156" t="str">
        <f>Products!C685</f>
        <v>заповнення:</v>
      </c>
      <c r="D146" s="468" t="str">
        <f>Products!D685</f>
        <v>клеєний сосновий брус</v>
      </c>
      <c r="E146" s="167" t="str">
        <f>Products!F685</f>
        <v>клеєний сосновий брус</v>
      </c>
      <c r="F146" s="463" t="str">
        <f>Products!H685</f>
        <v>клеєний сосновий брус</v>
      </c>
      <c r="G146" s="463" t="str">
        <f>Products!J685</f>
        <v>клеєний сосновий брус</v>
      </c>
      <c r="H146" s="463" t="str">
        <f>Products!L685</f>
        <v>клеєний сосновий брус</v>
      </c>
      <c r="I146" s="215"/>
      <c r="J146" s="215"/>
      <c r="K146" s="347"/>
      <c r="L146" s="341" t="str">
        <f>Products!B694</f>
        <v>вентиляційний підріз</v>
      </c>
      <c r="M146" s="348">
        <f>Products!E694</f>
        <v>170.00000000000003</v>
      </c>
    </row>
    <row r="147" spans="1:13" ht="12.75" customHeight="1">
      <c r="A147" s="31"/>
      <c r="B147" s="590"/>
      <c r="C147" s="157" t="str">
        <f>Products!C686</f>
        <v>скління:</v>
      </c>
      <c r="D147" s="466" t="str">
        <f>Products!D686</f>
        <v>Сатин</v>
      </c>
      <c r="E147" s="160" t="str">
        <f>Products!F686</f>
        <v>Сатин</v>
      </c>
      <c r="F147" s="461" t="str">
        <f>Products!H686</f>
        <v>Сатин</v>
      </c>
      <c r="G147" s="461" t="str">
        <f>Products!J686</f>
        <v>Сатин</v>
      </c>
      <c r="H147" s="461" t="str">
        <f>Products!L686</f>
        <v>Сатин</v>
      </c>
      <c r="I147" s="215"/>
      <c r="J147" s="215"/>
      <c r="K147" s="347"/>
      <c r="L147" s="341" t="str">
        <f>Products!B695</f>
        <v>скло Графіт / Бронза</v>
      </c>
      <c r="M147" s="348">
        <f>Products!E695</f>
        <v>550</v>
      </c>
    </row>
    <row r="148" spans="1:13">
      <c r="A148" s="31"/>
      <c r="B148" s="13" t="str">
        <f>Products!B687</f>
        <v>2А.0 - 2А.1</v>
      </c>
      <c r="C148" s="162"/>
      <c r="D148" s="183">
        <f>Products!E687</f>
        <v>6230</v>
      </c>
      <c r="E148" s="183">
        <f>Products!G687</f>
        <v>7100</v>
      </c>
      <c r="F148" s="183">
        <f>Products!I687</f>
        <v>7390</v>
      </c>
      <c r="G148" s="183">
        <f>Products!K687</f>
        <v>8050</v>
      </c>
      <c r="H148" s="183">
        <f>Products!M687</f>
        <v>8470</v>
      </c>
      <c r="I148" s="31"/>
      <c r="J148" s="360"/>
      <c r="K148" s="347"/>
      <c r="L148" s="341" t="str">
        <f>Products!B696</f>
        <v>замок Soft</v>
      </c>
      <c r="M148" s="348">
        <f>Products!E696</f>
        <v>550</v>
      </c>
    </row>
    <row r="149" spans="1:13">
      <c r="A149" s="31"/>
      <c r="B149" s="113" t="str">
        <f>Products!B688</f>
        <v>3А.0 - 3А.2</v>
      </c>
      <c r="C149" s="172"/>
      <c r="D149" s="193">
        <f>Products!E688</f>
        <v>6230</v>
      </c>
      <c r="E149" s="193">
        <f>Products!G688</f>
        <v>7100</v>
      </c>
      <c r="F149" s="193">
        <f>Products!I688</f>
        <v>7390</v>
      </c>
      <c r="G149" s="193">
        <f>Products!K688</f>
        <v>8050</v>
      </c>
      <c r="H149" s="193">
        <f>Products!M688</f>
        <v>8470</v>
      </c>
      <c r="I149" s="31"/>
      <c r="J149" s="360"/>
      <c r="K149" s="347"/>
      <c r="L149" s="341" t="str">
        <f>Products!B697</f>
        <v>замок Soft чорн.</v>
      </c>
      <c r="M149" s="348">
        <f>Products!E697</f>
        <v>680.00000000000011</v>
      </c>
    </row>
    <row r="150" spans="1:13">
      <c r="A150" s="31"/>
      <c r="B150" s="280" t="str">
        <f>Products!B689</f>
        <v>8.0 - 8.5</v>
      </c>
      <c r="C150" s="281"/>
      <c r="D150" s="282">
        <f>Products!E689</f>
        <v>6230</v>
      </c>
      <c r="E150" s="282">
        <f>Products!G689</f>
        <v>7100</v>
      </c>
      <c r="F150" s="282">
        <f>Products!I689</f>
        <v>7390</v>
      </c>
      <c r="G150" s="282">
        <f>Products!K689</f>
        <v>8050</v>
      </c>
      <c r="H150" s="282">
        <f>Products!M689</f>
        <v>8470</v>
      </c>
      <c r="I150" s="31"/>
      <c r="J150" s="360"/>
      <c r="K150" s="347"/>
      <c r="L150" s="341" t="str">
        <f>Products!B698</f>
        <v>замок Magnet</v>
      </c>
      <c r="M150" s="348">
        <f>Products!E698</f>
        <v>800.00000000000011</v>
      </c>
    </row>
    <row r="151" spans="1:13">
      <c r="A151" s="31"/>
      <c r="F151" s="96"/>
      <c r="G151" s="96"/>
      <c r="H151" s="31"/>
      <c r="I151" s="31"/>
      <c r="J151" s="360"/>
      <c r="K151" s="347"/>
      <c r="L151" s="341" t="str">
        <f>Products!B699</f>
        <v>замок Magnet чорн.</v>
      </c>
      <c r="M151" s="348">
        <f>Products!E699</f>
        <v>1000</v>
      </c>
    </row>
    <row r="152" spans="1:13">
      <c r="A152" s="31"/>
      <c r="C152" s="34"/>
      <c r="D152" s="34"/>
      <c r="E152" s="34"/>
      <c r="H152" s="31"/>
      <c r="I152" s="31"/>
      <c r="J152" s="360"/>
      <c r="K152" s="347"/>
      <c r="L152" s="341" t="str">
        <f>Products!B700</f>
        <v>ручка-замок (для дверей купе)</v>
      </c>
      <c r="M152" s="348">
        <f>Products!E700</f>
        <v>560</v>
      </c>
    </row>
    <row r="153" spans="1:13">
      <c r="A153" s="31"/>
      <c r="C153" s="34"/>
      <c r="D153" s="34"/>
      <c r="E153" s="34"/>
      <c r="H153" s="31"/>
      <c r="I153" s="31"/>
      <c r="J153" s="360"/>
      <c r="K153" s="347"/>
      <c r="L153" s="341" t="str">
        <f>Products!B701</f>
        <v>циліндр несиметричний</v>
      </c>
      <c r="M153" s="348">
        <f>Products!E701</f>
        <v>390</v>
      </c>
    </row>
    <row r="154" spans="1:13">
      <c r="A154" s="31"/>
      <c r="C154" s="34"/>
      <c r="D154" s="34"/>
      <c r="E154" s="34"/>
      <c r="H154" s="31"/>
      <c r="I154" s="31"/>
      <c r="J154" s="360"/>
      <c r="K154" s="347"/>
      <c r="L154" s="341" t="str">
        <f>Products!B702</f>
        <v>завіса Prestige (1 шт)</v>
      </c>
      <c r="M154" s="348">
        <f>Products!E702</f>
        <v>260</v>
      </c>
    </row>
    <row r="155" spans="1:13">
      <c r="C155" s="34"/>
      <c r="D155" s="34"/>
      <c r="E155" s="34"/>
      <c r="J155" s="352"/>
      <c r="K155" s="347"/>
      <c r="L155" s="341" t="str">
        <f>Products!B703</f>
        <v>накладка на завіси (1 к-т)</v>
      </c>
      <c r="M155" s="348">
        <f>Products!E703</f>
        <v>80</v>
      </c>
    </row>
    <row r="156" spans="1:13" ht="21">
      <c r="C156" s="34"/>
      <c r="D156" s="34"/>
      <c r="E156" s="34"/>
      <c r="J156" s="352"/>
      <c r="K156" s="347"/>
      <c r="L156" s="341" t="str">
        <f>Products!B704</f>
        <v>дверна ручка</v>
      </c>
      <c r="M156" s="348" t="str">
        <f>Products!E704</f>
        <v>див. Таблицю Ручки</v>
      </c>
    </row>
    <row r="157" spans="1:13">
      <c r="B157" s="591" t="str">
        <f>Products!B755</f>
        <v>Полотна збірні: ЛАДА B</v>
      </c>
      <c r="C157" s="592"/>
      <c r="D157" s="592"/>
      <c r="E157" s="592"/>
      <c r="F157" s="169"/>
      <c r="G157" s="169"/>
      <c r="H157" s="169"/>
      <c r="I157" s="169"/>
      <c r="J157" s="342"/>
      <c r="K157" s="342"/>
      <c r="L157" s="354"/>
      <c r="M157" s="355"/>
    </row>
    <row r="158" spans="1:13" ht="27.75" customHeight="1">
      <c r="B158" s="594" t="str">
        <f>Products!B757</f>
        <v>модель</v>
      </c>
      <c r="C158" s="155" t="str">
        <f>Products!C757</f>
        <v>покриття:</v>
      </c>
      <c r="D158" s="128" t="str">
        <f>Products!D757</f>
        <v>Verto-CELL</v>
      </c>
      <c r="E158" s="166" t="str">
        <f>Products!F757</f>
        <v>UNI-MAT</v>
      </c>
      <c r="F158" s="129" t="str">
        <f>Products!H757</f>
        <v>RESIST</v>
      </c>
      <c r="G158" s="129" t="str">
        <f>Products!J757</f>
        <v>Verto LINE-3D</v>
      </c>
      <c r="H158" s="129" t="str">
        <f>Products!L757</f>
        <v>ЕКО Шпон</v>
      </c>
      <c r="I158" s="215"/>
      <c r="J158" s="215"/>
      <c r="K158" s="356"/>
      <c r="L158" s="340" t="str">
        <f>Products!B766</f>
        <v>полотно розміром 100</v>
      </c>
      <c r="M158" s="357">
        <f>Products!E766</f>
        <v>720</v>
      </c>
    </row>
    <row r="159" spans="1:13" ht="24" customHeight="1">
      <c r="B159" s="589"/>
      <c r="C159" s="156" t="str">
        <f>Products!C758</f>
        <v>заповнення:</v>
      </c>
      <c r="D159" s="138" t="str">
        <f>Products!D758</f>
        <v>клеєний сосновий брус</v>
      </c>
      <c r="E159" s="167" t="str">
        <f>Products!F758</f>
        <v>клеєний сосновий брус</v>
      </c>
      <c r="F159" s="139" t="str">
        <f>Products!H758</f>
        <v>клеєний сосновий брус</v>
      </c>
      <c r="G159" s="139" t="str">
        <f>Products!J758</f>
        <v>клеєний сосновий брус</v>
      </c>
      <c r="H159" s="139" t="str">
        <f>Products!L758</f>
        <v>клеєний сосновий брус</v>
      </c>
      <c r="I159" s="215"/>
      <c r="J159" s="215"/>
      <c r="K159" s="347"/>
      <c r="L159" s="341" t="str">
        <f>Products!B767</f>
        <v>вентиляційний підріз</v>
      </c>
      <c r="M159" s="348">
        <f>Products!E767</f>
        <v>170.00000000000003</v>
      </c>
    </row>
    <row r="160" spans="1:13">
      <c r="B160" s="590"/>
      <c r="C160" s="157" t="str">
        <f>Products!C759</f>
        <v>скління:</v>
      </c>
      <c r="D160" s="136" t="str">
        <f>Products!D759</f>
        <v>Сатин</v>
      </c>
      <c r="E160" s="160" t="str">
        <f>Products!F759</f>
        <v>Сатин</v>
      </c>
      <c r="F160" s="125" t="str">
        <f>Products!H759</f>
        <v>Сатин</v>
      </c>
      <c r="G160" s="125" t="str">
        <f>Products!J759</f>
        <v>Сатин</v>
      </c>
      <c r="H160" s="125" t="str">
        <f>Products!L759</f>
        <v>Сатин</v>
      </c>
      <c r="I160" s="215"/>
      <c r="J160" s="215"/>
      <c r="K160" s="347"/>
      <c r="L160" s="341" t="str">
        <f>Products!B768</f>
        <v>скло Графіт / Бронза</v>
      </c>
      <c r="M160" s="348">
        <f>Products!E768</f>
        <v>550</v>
      </c>
    </row>
    <row r="161" spans="2:13">
      <c r="B161" s="13" t="str">
        <f>Products!B760</f>
        <v>1.0 - 1.3</v>
      </c>
      <c r="C161" s="162"/>
      <c r="D161" s="183">
        <f>Products!E760</f>
        <v>6230</v>
      </c>
      <c r="E161" s="183">
        <f>Products!G760</f>
        <v>7100</v>
      </c>
      <c r="F161" s="183">
        <f>Products!I760</f>
        <v>7400</v>
      </c>
      <c r="G161" s="183">
        <f>Products!K760</f>
        <v>8050</v>
      </c>
      <c r="H161" s="183">
        <f>Products!M760</f>
        <v>8470</v>
      </c>
      <c r="I161" s="31"/>
      <c r="J161" s="360"/>
      <c r="K161" s="347"/>
      <c r="L161" s="341" t="str">
        <f>Products!B769</f>
        <v>скло Lacobel чорне</v>
      </c>
      <c r="M161" s="348">
        <f>Products!E769</f>
        <v>550</v>
      </c>
    </row>
    <row r="162" spans="2:13">
      <c r="B162" s="113" t="str">
        <f>Products!B761</f>
        <v>2.0 - 2.2</v>
      </c>
      <c r="C162" s="172"/>
      <c r="D162" s="193">
        <f>Products!E761</f>
        <v>6230</v>
      </c>
      <c r="E162" s="193">
        <f>Products!G761</f>
        <v>7100</v>
      </c>
      <c r="F162" s="193">
        <f>Products!I761</f>
        <v>7400</v>
      </c>
      <c r="G162" s="193">
        <f>Products!K761</f>
        <v>8050</v>
      </c>
      <c r="H162" s="193">
        <f>Products!M761</f>
        <v>8470</v>
      </c>
      <c r="I162" s="31"/>
      <c r="J162" s="360"/>
      <c r="K162" s="347"/>
      <c r="L162" s="341" t="str">
        <f>Products!B770</f>
        <v>замок Soft</v>
      </c>
      <c r="M162" s="348">
        <f>Products!E770</f>
        <v>550</v>
      </c>
    </row>
    <row r="163" spans="2:13">
      <c r="B163" s="280" t="str">
        <f>Products!B762</f>
        <v>3.0 - 3.5</v>
      </c>
      <c r="C163" s="281"/>
      <c r="D163" s="282">
        <f>Products!E762</f>
        <v>6500</v>
      </c>
      <c r="E163" s="282">
        <f>Products!G762</f>
        <v>7400</v>
      </c>
      <c r="F163" s="282">
        <f>Products!I762</f>
        <v>7730</v>
      </c>
      <c r="G163" s="282">
        <f>Products!K762</f>
        <v>8340</v>
      </c>
      <c r="H163" s="282">
        <f>Products!M762</f>
        <v>8850</v>
      </c>
      <c r="I163" s="31"/>
      <c r="J163" s="360"/>
      <c r="K163" s="347"/>
      <c r="L163" s="341" t="str">
        <f>Products!B771</f>
        <v>замок Soft чорн.</v>
      </c>
      <c r="M163" s="348">
        <f>Products!E771</f>
        <v>680.00000000000011</v>
      </c>
    </row>
    <row r="164" spans="2:13">
      <c r="F164" s="96"/>
      <c r="G164" s="96"/>
      <c r="H164" s="31"/>
      <c r="I164" s="31"/>
      <c r="J164" s="360"/>
      <c r="K164" s="347"/>
      <c r="L164" s="341" t="str">
        <f>Products!B772</f>
        <v>замок Magnet</v>
      </c>
      <c r="M164" s="348">
        <f>Products!E772</f>
        <v>800.00000000000011</v>
      </c>
    </row>
    <row r="165" spans="2:13">
      <c r="C165" s="34"/>
      <c r="D165" s="34"/>
      <c r="E165" s="34"/>
      <c r="H165" s="31"/>
      <c r="I165" s="31"/>
      <c r="J165" s="360"/>
      <c r="K165" s="347"/>
      <c r="L165" s="341" t="str">
        <f>Products!B773</f>
        <v>замок Magnet чорн.</v>
      </c>
      <c r="M165" s="348">
        <f>Products!E773</f>
        <v>1000</v>
      </c>
    </row>
    <row r="166" spans="2:13">
      <c r="C166" s="34"/>
      <c r="D166" s="34"/>
      <c r="E166" s="34"/>
      <c r="H166" s="31"/>
      <c r="I166" s="31"/>
      <c r="J166" s="360"/>
      <c r="K166" s="347"/>
      <c r="L166" s="341" t="str">
        <f>Products!B774</f>
        <v>ручка-замок (для дверей купе)</v>
      </c>
      <c r="M166" s="348">
        <f>Products!E774</f>
        <v>560</v>
      </c>
    </row>
    <row r="167" spans="2:13">
      <c r="C167" s="34"/>
      <c r="D167" s="34"/>
      <c r="E167" s="34"/>
      <c r="H167" s="31"/>
      <c r="I167" s="31"/>
      <c r="J167" s="360"/>
      <c r="K167" s="347"/>
      <c r="L167" s="341" t="str">
        <f>Products!B775</f>
        <v>циліндр несиметричний</v>
      </c>
      <c r="M167" s="348">
        <f>Products!E775</f>
        <v>390</v>
      </c>
    </row>
    <row r="168" spans="2:13">
      <c r="F168" s="96"/>
      <c r="G168" s="96"/>
      <c r="H168" s="31"/>
      <c r="I168" s="31"/>
      <c r="J168" s="360"/>
      <c r="K168" s="347"/>
      <c r="L168" s="341" t="str">
        <f>Products!B776</f>
        <v>завіса Prestige (1 шт)</v>
      </c>
      <c r="M168" s="348">
        <f>Products!E776</f>
        <v>260</v>
      </c>
    </row>
    <row r="169" spans="2:13">
      <c r="C169" s="34"/>
      <c r="D169" s="34"/>
      <c r="E169" s="34"/>
      <c r="J169" s="352"/>
      <c r="K169" s="347"/>
      <c r="L169" s="341" t="str">
        <f>Products!B777</f>
        <v>накладка на завіси (1 к-т)</v>
      </c>
      <c r="M169" s="348">
        <f>Products!E777</f>
        <v>80</v>
      </c>
    </row>
    <row r="170" spans="2:13" ht="21">
      <c r="C170" s="34"/>
      <c r="D170" s="34"/>
      <c r="E170" s="34"/>
      <c r="J170" s="352"/>
      <c r="K170" s="347"/>
      <c r="L170" s="341" t="str">
        <f>Products!B778</f>
        <v>дверна ручка</v>
      </c>
      <c r="M170" s="348" t="str">
        <f>Products!E778</f>
        <v>див. Таблицю Ручки</v>
      </c>
    </row>
    <row r="171" spans="2:13">
      <c r="B171" s="591" t="str">
        <f>Products!B829</f>
        <v>Полотна збірні: ЛАДА C</v>
      </c>
      <c r="C171" s="592"/>
      <c r="D171" s="592"/>
      <c r="E171" s="592"/>
      <c r="F171" s="169"/>
      <c r="G171" s="169"/>
      <c r="H171" s="169"/>
      <c r="I171" s="169"/>
      <c r="J171" s="342"/>
      <c r="K171" s="342"/>
      <c r="L171" s="354"/>
      <c r="M171" s="355"/>
    </row>
    <row r="172" spans="2:13" ht="25.5" customHeight="1">
      <c r="B172" s="594" t="str">
        <f>Products!B831</f>
        <v>модель</v>
      </c>
      <c r="C172" s="155" t="str">
        <f>Products!C831</f>
        <v>покриття:</v>
      </c>
      <c r="D172" s="128" t="str">
        <f>Products!D831</f>
        <v>Verto-CELL</v>
      </c>
      <c r="E172" s="166" t="str">
        <f>Products!F831</f>
        <v>UNI-MAT</v>
      </c>
      <c r="F172" s="129" t="str">
        <f>Products!H831</f>
        <v>RESIST</v>
      </c>
      <c r="G172" s="129" t="str">
        <f>Products!J831</f>
        <v>Verto LINE-3D</v>
      </c>
      <c r="H172" s="129" t="str">
        <f>Products!L831</f>
        <v>ЕКО Шпон</v>
      </c>
      <c r="I172" s="215"/>
      <c r="J172" s="215"/>
      <c r="K172" s="356"/>
      <c r="L172" s="340" t="str">
        <f>Products!B839</f>
        <v>полотно розміром 100</v>
      </c>
      <c r="M172" s="357">
        <f>Products!E839</f>
        <v>720</v>
      </c>
    </row>
    <row r="173" spans="2:13" ht="24.75" customHeight="1">
      <c r="B173" s="589"/>
      <c r="C173" s="156" t="str">
        <f>Products!C832</f>
        <v>заповнення:</v>
      </c>
      <c r="D173" s="138" t="str">
        <f>Products!D832</f>
        <v>клеєний сосновий брус</v>
      </c>
      <c r="E173" s="167" t="str">
        <f>Products!F832</f>
        <v>клеєний сосновий брус</v>
      </c>
      <c r="F173" s="139" t="str">
        <f>Products!H832</f>
        <v>клеєний сосновий брус</v>
      </c>
      <c r="G173" s="139" t="str">
        <f>Products!J832</f>
        <v>клеєний сосновий брус</v>
      </c>
      <c r="H173" s="139" t="str">
        <f>Products!L832</f>
        <v>клеєний сосновий брус</v>
      </c>
      <c r="I173" s="215"/>
      <c r="J173" s="215"/>
      <c r="K173" s="347"/>
      <c r="L173" s="341" t="str">
        <f>Products!B840</f>
        <v>вентиляційний підріз</v>
      </c>
      <c r="M173" s="348">
        <f>Products!E840</f>
        <v>170.00000000000003</v>
      </c>
    </row>
    <row r="174" spans="2:13">
      <c r="B174" s="590"/>
      <c r="C174" s="157" t="str">
        <f>Products!C833</f>
        <v>скління:</v>
      </c>
      <c r="D174" s="136" t="str">
        <f>Products!D833</f>
        <v>Сатин</v>
      </c>
      <c r="E174" s="160" t="str">
        <f>Products!F833</f>
        <v>Сатин</v>
      </c>
      <c r="F174" s="125" t="str">
        <f>Products!H833</f>
        <v>Сатин</v>
      </c>
      <c r="G174" s="125" t="str">
        <f>Products!J833</f>
        <v>Сатин</v>
      </c>
      <c r="H174" s="125" t="str">
        <f>Products!L833</f>
        <v>Сатин</v>
      </c>
      <c r="I174" s="215"/>
      <c r="J174" s="215"/>
      <c r="K174" s="347"/>
      <c r="L174" s="341" t="str">
        <f>Products!B841</f>
        <v>скло Графіт / Бронза</v>
      </c>
      <c r="M174" s="348">
        <f>Products!E841</f>
        <v>550</v>
      </c>
    </row>
    <row r="175" spans="2:13">
      <c r="B175" s="13" t="str">
        <f>Products!B834</f>
        <v>4.0 - 4.8</v>
      </c>
      <c r="C175" s="162"/>
      <c r="D175" s="183">
        <f>Products!E834</f>
        <v>6790.0000000000009</v>
      </c>
      <c r="E175" s="183">
        <f>Products!G834</f>
        <v>7740</v>
      </c>
      <c r="F175" s="183">
        <f>Products!I834</f>
        <v>8050</v>
      </c>
      <c r="G175" s="183">
        <f>Products!K834</f>
        <v>8770</v>
      </c>
      <c r="H175" s="183">
        <f>Products!M834</f>
        <v>9200</v>
      </c>
      <c r="I175" s="31"/>
      <c r="J175" s="360"/>
      <c r="K175" s="347"/>
      <c r="L175" s="341" t="str">
        <f>Products!B842</f>
        <v>замок Soft</v>
      </c>
      <c r="M175" s="348">
        <f>Products!E842</f>
        <v>550</v>
      </c>
    </row>
    <row r="176" spans="2:13">
      <c r="B176" s="280" t="str">
        <f>Products!B835</f>
        <v>5.0 - 5.6</v>
      </c>
      <c r="C176" s="281"/>
      <c r="D176" s="282">
        <f>Products!E835</f>
        <v>6790.0000000000009</v>
      </c>
      <c r="E176" s="282">
        <f>Products!G835</f>
        <v>7740</v>
      </c>
      <c r="F176" s="282">
        <f>Products!I835</f>
        <v>8050</v>
      </c>
      <c r="G176" s="282">
        <f>Products!K835</f>
        <v>8770</v>
      </c>
      <c r="H176" s="282">
        <f>Products!M835</f>
        <v>9200</v>
      </c>
      <c r="I176" s="31"/>
      <c r="J176" s="360"/>
      <c r="K176" s="347"/>
      <c r="L176" s="341" t="str">
        <f>Products!B843</f>
        <v>замок Soft чорн.</v>
      </c>
      <c r="M176" s="348">
        <f>Products!E843</f>
        <v>680.00000000000011</v>
      </c>
    </row>
    <row r="177" spans="2:13">
      <c r="F177" s="96"/>
      <c r="G177" s="96"/>
      <c r="H177" s="31"/>
      <c r="I177" s="31"/>
      <c r="J177" s="360"/>
      <c r="K177" s="347"/>
      <c r="L177" s="341" t="str">
        <f>Products!B844</f>
        <v>замок Magnet</v>
      </c>
      <c r="M177" s="348">
        <f>Products!E844</f>
        <v>800.00000000000011</v>
      </c>
    </row>
    <row r="178" spans="2:13">
      <c r="F178" s="96"/>
      <c r="G178" s="96"/>
      <c r="H178" s="31"/>
      <c r="I178" s="31"/>
      <c r="J178" s="360"/>
      <c r="K178" s="347"/>
      <c r="L178" s="341" t="str">
        <f>Products!B845</f>
        <v>замок Magnet чорн.</v>
      </c>
      <c r="M178" s="348">
        <f>Products!E845</f>
        <v>1000</v>
      </c>
    </row>
    <row r="179" spans="2:13">
      <c r="C179" s="34"/>
      <c r="D179" s="34"/>
      <c r="E179" s="34"/>
      <c r="H179" s="31"/>
      <c r="I179" s="31"/>
      <c r="J179" s="360"/>
      <c r="K179" s="347"/>
      <c r="L179" s="341" t="str">
        <f>Products!B846</f>
        <v>ручка-замок (для дверей купе)</v>
      </c>
      <c r="M179" s="348">
        <f>Products!E846</f>
        <v>560</v>
      </c>
    </row>
    <row r="180" spans="2:13">
      <c r="C180" s="34"/>
      <c r="D180" s="34"/>
      <c r="E180" s="34"/>
      <c r="H180" s="31"/>
      <c r="I180" s="31"/>
      <c r="J180" s="360"/>
      <c r="K180" s="347"/>
      <c r="L180" s="341" t="str">
        <f>Products!B847</f>
        <v>циліндр несиметричний</v>
      </c>
      <c r="M180" s="348">
        <f>Products!E847</f>
        <v>390</v>
      </c>
    </row>
    <row r="181" spans="2:13">
      <c r="C181" s="34"/>
      <c r="D181" s="34"/>
      <c r="E181" s="34"/>
      <c r="H181" s="31"/>
      <c r="I181" s="31"/>
      <c r="J181" s="360"/>
      <c r="K181" s="347"/>
      <c r="L181" s="341" t="str">
        <f>Products!B848</f>
        <v>завіса Prestige (1 шт)</v>
      </c>
      <c r="M181" s="348">
        <f>Products!E848</f>
        <v>260</v>
      </c>
    </row>
    <row r="182" spans="2:13">
      <c r="C182" s="34"/>
      <c r="D182" s="34"/>
      <c r="E182" s="34"/>
      <c r="J182" s="352"/>
      <c r="K182" s="347"/>
      <c r="L182" s="341" t="str">
        <f>Products!B849</f>
        <v>накладка на завіси (1 к-т)</v>
      </c>
      <c r="M182" s="348">
        <f>Products!E849</f>
        <v>80</v>
      </c>
    </row>
    <row r="183" spans="2:13" ht="21">
      <c r="C183" s="34"/>
      <c r="D183" s="34"/>
      <c r="E183" s="34"/>
      <c r="J183" s="352"/>
      <c r="K183" s="347"/>
      <c r="L183" s="341" t="str">
        <f>Products!B850</f>
        <v>дверна ручка</v>
      </c>
      <c r="M183" s="348" t="str">
        <f>Products!E850</f>
        <v>див. Таблицю Ручки</v>
      </c>
    </row>
    <row r="184" spans="2:13">
      <c r="B184" s="591" t="str">
        <f>Products!B901</f>
        <v>Полотна збірні: ЛАДА D</v>
      </c>
      <c r="C184" s="592"/>
      <c r="D184" s="592"/>
      <c r="E184" s="592"/>
      <c r="F184" s="169"/>
      <c r="G184" s="169"/>
      <c r="H184" s="169"/>
      <c r="I184" s="169"/>
      <c r="J184" s="342"/>
      <c r="K184" s="342"/>
      <c r="L184" s="354"/>
      <c r="M184" s="355"/>
    </row>
    <row r="185" spans="2:13" ht="27" customHeight="1">
      <c r="B185" s="594" t="str">
        <f>Products!B903</f>
        <v>модель</v>
      </c>
      <c r="C185" s="155" t="str">
        <f>Products!C903</f>
        <v>покриття:</v>
      </c>
      <c r="D185" s="128" t="str">
        <f>Products!D903</f>
        <v>Verto-CELL</v>
      </c>
      <c r="E185" s="166" t="str">
        <f>Products!F903</f>
        <v>UNI-MAT</v>
      </c>
      <c r="F185" s="129" t="str">
        <f>Products!H903</f>
        <v>RESIST</v>
      </c>
      <c r="G185" s="129" t="str">
        <f>Products!J903</f>
        <v>Verto LINE-3D</v>
      </c>
      <c r="H185" s="129" t="str">
        <f>Products!L903</f>
        <v>ЕКО Шпон</v>
      </c>
      <c r="I185" s="215"/>
      <c r="J185" s="215"/>
      <c r="K185" s="356"/>
      <c r="L185" s="340" t="str">
        <f>Products!B911</f>
        <v>полотно розміром 100</v>
      </c>
      <c r="M185" s="357">
        <f>Products!E911</f>
        <v>720</v>
      </c>
    </row>
    <row r="186" spans="2:13" ht="24.75" customHeight="1">
      <c r="B186" s="589"/>
      <c r="C186" s="156" t="str">
        <f>Products!C904</f>
        <v>заповнення:</v>
      </c>
      <c r="D186" s="138" t="str">
        <f>Products!D904</f>
        <v>клеєний сосновий брус</v>
      </c>
      <c r="E186" s="167" t="str">
        <f>Products!F904</f>
        <v>клеєний сосновий брус</v>
      </c>
      <c r="F186" s="139" t="str">
        <f>Products!H904</f>
        <v>клеєний сосновий брус</v>
      </c>
      <c r="G186" s="139" t="str">
        <f>Products!J904</f>
        <v>клеєний сосновий брус</v>
      </c>
      <c r="H186" s="139" t="str">
        <f>Products!L904</f>
        <v>клеєний сосновий брус</v>
      </c>
      <c r="I186" s="215"/>
      <c r="J186" s="215"/>
      <c r="K186" s="347"/>
      <c r="L186" s="341" t="str">
        <f>Products!B912</f>
        <v>вентиляційний підріз</v>
      </c>
      <c r="M186" s="348">
        <f>Products!E912</f>
        <v>170.00000000000003</v>
      </c>
    </row>
    <row r="187" spans="2:13">
      <c r="B187" s="590"/>
      <c r="C187" s="157" t="str">
        <f>Products!C905</f>
        <v>скління:</v>
      </c>
      <c r="D187" s="136" t="str">
        <f>Products!D905</f>
        <v>Сатин</v>
      </c>
      <c r="E187" s="160" t="str">
        <f>Products!F905</f>
        <v>Сатин</v>
      </c>
      <c r="F187" s="125" t="str">
        <f>Products!H905</f>
        <v>Сатин</v>
      </c>
      <c r="G187" s="125" t="str">
        <f>Products!J905</f>
        <v>Сатин</v>
      </c>
      <c r="H187" s="125" t="str">
        <f>Products!L905</f>
        <v>Сатин</v>
      </c>
      <c r="I187" s="215"/>
      <c r="J187" s="215"/>
      <c r="K187" s="347"/>
      <c r="L187" s="341" t="str">
        <f>Products!B913</f>
        <v>скло Графіт / Бронза</v>
      </c>
      <c r="M187" s="348">
        <f>Products!E913</f>
        <v>550</v>
      </c>
    </row>
    <row r="188" spans="2:13">
      <c r="B188" s="13" t="str">
        <f>Products!B906</f>
        <v>6.0 - 6.4</v>
      </c>
      <c r="C188" s="162"/>
      <c r="D188" s="183">
        <f>Products!E906</f>
        <v>6790.0000000000009</v>
      </c>
      <c r="E188" s="183">
        <f>Products!G906</f>
        <v>7740</v>
      </c>
      <c r="F188" s="183">
        <f>Products!I906</f>
        <v>8050</v>
      </c>
      <c r="G188" s="183">
        <f>Products!K906</f>
        <v>8770</v>
      </c>
      <c r="H188" s="183">
        <f>Products!M906</f>
        <v>9190</v>
      </c>
      <c r="I188" s="31"/>
      <c r="J188" s="360"/>
      <c r="K188" s="347"/>
      <c r="L188" s="341" t="str">
        <f>Products!B914</f>
        <v>скло Lacobel чорне</v>
      </c>
      <c r="M188" s="348">
        <f>Products!E914</f>
        <v>550</v>
      </c>
    </row>
    <row r="189" spans="2:13">
      <c r="B189" s="280" t="str">
        <f>Products!B907</f>
        <v>7.0 - 7.2</v>
      </c>
      <c r="C189" s="281"/>
      <c r="D189" s="282">
        <f>Products!E907</f>
        <v>6730.0000000000009</v>
      </c>
      <c r="E189" s="282">
        <f>Products!G907</f>
        <v>7670</v>
      </c>
      <c r="F189" s="282">
        <f>Products!I907</f>
        <v>8010</v>
      </c>
      <c r="G189" s="282">
        <f>Products!K907</f>
        <v>8650</v>
      </c>
      <c r="H189" s="282">
        <f>Products!M907</f>
        <v>9170</v>
      </c>
      <c r="I189" s="31"/>
      <c r="J189" s="360"/>
      <c r="K189" s="347"/>
      <c r="L189" s="341" t="str">
        <f>Products!B915</f>
        <v>замок Soft</v>
      </c>
      <c r="M189" s="348">
        <f>Products!E915</f>
        <v>550</v>
      </c>
    </row>
    <row r="190" spans="2:13">
      <c r="F190" s="96"/>
      <c r="G190" s="96"/>
      <c r="H190" s="31"/>
      <c r="I190" s="31"/>
      <c r="J190" s="360"/>
      <c r="K190" s="347"/>
      <c r="L190" s="341" t="str">
        <f>Products!B916</f>
        <v>замок Soft чорн.</v>
      </c>
      <c r="M190" s="348">
        <f>Products!E916</f>
        <v>680.00000000000011</v>
      </c>
    </row>
    <row r="191" spans="2:13">
      <c r="F191" s="96"/>
      <c r="G191" s="96"/>
      <c r="H191" s="31"/>
      <c r="I191" s="31"/>
      <c r="J191" s="360"/>
      <c r="K191" s="347"/>
      <c r="L191" s="341" t="str">
        <f>Products!B917</f>
        <v>замок Magnet</v>
      </c>
      <c r="M191" s="348">
        <f>Products!E917</f>
        <v>800.00000000000011</v>
      </c>
    </row>
    <row r="192" spans="2:13">
      <c r="C192" s="34"/>
      <c r="D192" s="34"/>
      <c r="E192" s="34"/>
      <c r="H192" s="31"/>
      <c r="I192" s="31"/>
      <c r="J192" s="360"/>
      <c r="K192" s="347"/>
      <c r="L192" s="341" t="str">
        <f>Products!B918</f>
        <v>замок Magnet чорн.</v>
      </c>
      <c r="M192" s="348">
        <f>Products!E918</f>
        <v>1000</v>
      </c>
    </row>
    <row r="193" spans="2:13">
      <c r="C193" s="34"/>
      <c r="D193" s="34"/>
      <c r="E193" s="34"/>
      <c r="H193" s="31"/>
      <c r="I193" s="31"/>
      <c r="J193" s="360"/>
      <c r="K193" s="347"/>
      <c r="L193" s="341" t="str">
        <f>Products!B919</f>
        <v>ручка-замок (для дверей купе)</v>
      </c>
      <c r="M193" s="348">
        <f>Products!E919</f>
        <v>560</v>
      </c>
    </row>
    <row r="194" spans="2:13">
      <c r="F194" s="96"/>
      <c r="G194" s="96"/>
      <c r="H194" s="31"/>
      <c r="I194" s="31"/>
      <c r="J194" s="360"/>
      <c r="K194" s="347"/>
      <c r="L194" s="341" t="str">
        <f>Products!B920</f>
        <v>циліндр несиметричний</v>
      </c>
      <c r="M194" s="348">
        <f>Products!E920</f>
        <v>390</v>
      </c>
    </row>
    <row r="195" spans="2:13">
      <c r="C195" s="34"/>
      <c r="D195" s="34"/>
      <c r="E195" s="34"/>
      <c r="J195" s="352"/>
      <c r="K195" s="347"/>
      <c r="L195" s="341" t="str">
        <f>Products!B921</f>
        <v>завіса Prestige (1 шт)</v>
      </c>
      <c r="M195" s="348">
        <f>Products!E921</f>
        <v>260</v>
      </c>
    </row>
    <row r="196" spans="2:13">
      <c r="C196" s="34"/>
      <c r="D196" s="34"/>
      <c r="E196" s="34"/>
      <c r="J196" s="352"/>
      <c r="K196" s="347"/>
      <c r="L196" s="341" t="str">
        <f>Products!B922</f>
        <v>накладка на завіси (1 к-т)</v>
      </c>
      <c r="M196" s="348">
        <f>Products!E922</f>
        <v>80</v>
      </c>
    </row>
    <row r="197" spans="2:13" ht="21">
      <c r="C197" s="34"/>
      <c r="D197" s="34"/>
      <c r="E197" s="34"/>
      <c r="J197" s="352"/>
      <c r="K197" s="347"/>
      <c r="L197" s="341" t="str">
        <f>Products!B923</f>
        <v>дверна ручка</v>
      </c>
      <c r="M197" s="348" t="str">
        <f>Products!E923</f>
        <v>див. Таблицю Ручки</v>
      </c>
    </row>
    <row r="198" spans="2:13">
      <c r="B198" s="591" t="str">
        <f>Products!B974</f>
        <v>Полотна збірні: НІКА</v>
      </c>
      <c r="C198" s="592"/>
      <c r="D198" s="592"/>
      <c r="E198" s="592"/>
      <c r="F198" s="169"/>
      <c r="G198" s="169"/>
      <c r="H198" s="169"/>
      <c r="I198" s="169"/>
      <c r="J198" s="342"/>
      <c r="K198" s="342"/>
      <c r="L198" s="354"/>
      <c r="M198" s="355"/>
    </row>
    <row r="199" spans="2:13" ht="24.75" customHeight="1">
      <c r="B199" s="594" t="str">
        <f>Products!B976</f>
        <v>модель</v>
      </c>
      <c r="C199" s="155" t="str">
        <f>Products!C976</f>
        <v>покриття:</v>
      </c>
      <c r="D199" s="128" t="str">
        <f>Products!D976</f>
        <v>Verto-CELL</v>
      </c>
      <c r="E199" s="166" t="str">
        <f>Products!F976</f>
        <v>UNI-MAT</v>
      </c>
      <c r="F199" s="129" t="str">
        <f>Products!H976</f>
        <v>RESIST</v>
      </c>
      <c r="G199" s="129" t="str">
        <f>Products!J976</f>
        <v>Verto LINE-3D</v>
      </c>
      <c r="H199" s="129" t="str">
        <f>Products!L976</f>
        <v>ЕКО Шпон</v>
      </c>
      <c r="I199" s="215"/>
      <c r="J199" s="215"/>
      <c r="K199" s="356"/>
      <c r="L199" s="340" t="str">
        <f>Products!B984</f>
        <v>полотно розміром 100</v>
      </c>
      <c r="M199" s="357">
        <f>Products!E984</f>
        <v>720</v>
      </c>
    </row>
    <row r="200" spans="2:13" ht="24.75" customHeight="1">
      <c r="B200" s="589"/>
      <c r="C200" s="156" t="str">
        <f>Products!C977</f>
        <v>заповнення:</v>
      </c>
      <c r="D200" s="138" t="str">
        <f>Products!D977</f>
        <v>клеєний сосновий брус</v>
      </c>
      <c r="E200" s="167" t="str">
        <f>Products!F977</f>
        <v>клеєний сосновий брус</v>
      </c>
      <c r="F200" s="139" t="str">
        <f>Products!H977</f>
        <v>клеєний сосновий брус</v>
      </c>
      <c r="G200" s="139" t="str">
        <f>Products!J977</f>
        <v>клеєний сосновий брус</v>
      </c>
      <c r="H200" s="139" t="str">
        <f>Products!L977</f>
        <v>клеєний сосновий брус</v>
      </c>
      <c r="I200" s="215"/>
      <c r="J200" s="215"/>
      <c r="K200" s="347"/>
      <c r="L200" s="341" t="str">
        <f>Products!B985</f>
        <v>вентиляційний підріз</v>
      </c>
      <c r="M200" s="348">
        <f>Products!E985</f>
        <v>170.00000000000003</v>
      </c>
    </row>
    <row r="201" spans="2:13">
      <c r="B201" s="590"/>
      <c r="C201" s="157" t="str">
        <f>Products!C978</f>
        <v>скління:</v>
      </c>
      <c r="D201" s="136" t="str">
        <f>Products!D978</f>
        <v>Сатин</v>
      </c>
      <c r="E201" s="160" t="str">
        <f>Products!F978</f>
        <v>Сатин</v>
      </c>
      <c r="F201" s="125" t="str">
        <f>Products!H978</f>
        <v>Сатин</v>
      </c>
      <c r="G201" s="125" t="str">
        <f>Products!J978</f>
        <v>Сатин</v>
      </c>
      <c r="H201" s="125" t="str">
        <f>Products!L978</f>
        <v>Сатин</v>
      </c>
      <c r="I201" s="215"/>
      <c r="J201" s="215"/>
      <c r="K201" s="347"/>
      <c r="L201" s="341" t="str">
        <f>Products!B986</f>
        <v>скло Графіт / Бронза</v>
      </c>
      <c r="M201" s="348">
        <f>Products!E986</f>
        <v>550</v>
      </c>
    </row>
    <row r="202" spans="2:13">
      <c r="B202" s="13" t="str">
        <f>Products!B979</f>
        <v>1.0 - 1.8</v>
      </c>
      <c r="C202" s="162"/>
      <c r="D202" s="183">
        <f>Products!E979</f>
        <v>6590</v>
      </c>
      <c r="E202" s="183">
        <f>Products!G979</f>
        <v>7500</v>
      </c>
      <c r="F202" s="183">
        <f>Products!I979</f>
        <v>7740</v>
      </c>
      <c r="G202" s="183">
        <f>Products!K979</f>
        <v>8400</v>
      </c>
      <c r="H202" s="183">
        <f>Products!M979</f>
        <v>8770</v>
      </c>
      <c r="I202" s="31"/>
      <c r="J202" s="360"/>
      <c r="K202" s="347"/>
      <c r="L202" s="341" t="str">
        <f>Products!B987</f>
        <v>скло Lacobel чорне</v>
      </c>
      <c r="M202" s="348">
        <f>Products!E987</f>
        <v>550</v>
      </c>
    </row>
    <row r="203" spans="2:13">
      <c r="B203" s="280" t="str">
        <f>Products!B980</f>
        <v>2.1 - 2.4</v>
      </c>
      <c r="C203" s="281"/>
      <c r="D203" s="282">
        <f>Products!E980</f>
        <v>6590</v>
      </c>
      <c r="E203" s="282">
        <f>Products!G980</f>
        <v>7500</v>
      </c>
      <c r="F203" s="282">
        <f>Products!I980</f>
        <v>7740</v>
      </c>
      <c r="G203" s="282">
        <f>Products!K980</f>
        <v>8400</v>
      </c>
      <c r="H203" s="282">
        <f>Products!M980</f>
        <v>8770</v>
      </c>
      <c r="I203" s="31"/>
      <c r="J203" s="360"/>
      <c r="K203" s="347"/>
      <c r="L203" s="341" t="str">
        <f>Products!B988</f>
        <v>замок Soft</v>
      </c>
      <c r="M203" s="348">
        <f>Products!E988</f>
        <v>550</v>
      </c>
    </row>
    <row r="204" spans="2:13">
      <c r="F204" s="96"/>
      <c r="G204" s="96"/>
      <c r="H204" s="31"/>
      <c r="I204" s="31"/>
      <c r="J204" s="360"/>
      <c r="K204" s="347"/>
      <c r="L204" s="341" t="str">
        <f>Products!B989</f>
        <v>замок Soft чорн.</v>
      </c>
      <c r="M204" s="348">
        <f>Products!E989</f>
        <v>680.00000000000011</v>
      </c>
    </row>
    <row r="205" spans="2:13">
      <c r="F205" s="96"/>
      <c r="G205" s="96"/>
      <c r="H205" s="31"/>
      <c r="I205" s="31"/>
      <c r="J205" s="360"/>
      <c r="K205" s="347"/>
      <c r="L205" s="341" t="str">
        <f>Products!B990</f>
        <v>замок Magnet</v>
      </c>
      <c r="M205" s="348">
        <f>Products!E990</f>
        <v>800.00000000000011</v>
      </c>
    </row>
    <row r="206" spans="2:13">
      <c r="C206" s="34"/>
      <c r="D206" s="34"/>
      <c r="E206" s="34"/>
      <c r="H206" s="31"/>
      <c r="I206" s="31"/>
      <c r="J206" s="360"/>
      <c r="K206" s="347"/>
      <c r="L206" s="341" t="str">
        <f>Products!B991</f>
        <v>замок Magnet чорн.</v>
      </c>
      <c r="M206" s="348">
        <f>Products!E991</f>
        <v>1000</v>
      </c>
    </row>
    <row r="207" spans="2:13">
      <c r="C207" s="34"/>
      <c r="D207" s="34"/>
      <c r="E207" s="34"/>
      <c r="H207" s="31"/>
      <c r="I207" s="31"/>
      <c r="J207" s="360"/>
      <c r="K207" s="347"/>
      <c r="L207" s="341" t="str">
        <f>Products!B992</f>
        <v>ручка-замок (для дверей купе)</v>
      </c>
      <c r="M207" s="348">
        <f>Products!E992</f>
        <v>560</v>
      </c>
    </row>
    <row r="208" spans="2:13">
      <c r="C208" s="34"/>
      <c r="D208" s="34"/>
      <c r="E208" s="34"/>
      <c r="H208" s="31"/>
      <c r="I208" s="31"/>
      <c r="J208" s="360"/>
      <c r="K208" s="347"/>
      <c r="L208" s="341" t="str">
        <f>Products!B993</f>
        <v>циліндр несиметричний</v>
      </c>
      <c r="M208" s="348">
        <f>Products!E993</f>
        <v>390</v>
      </c>
    </row>
    <row r="209" spans="2:13">
      <c r="F209" s="96"/>
      <c r="G209" s="96"/>
      <c r="H209" s="31"/>
      <c r="I209" s="31"/>
      <c r="J209" s="360"/>
      <c r="K209" s="347"/>
      <c r="L209" s="341" t="str">
        <f>Products!B994</f>
        <v>завіса Prestige (1 шт)</v>
      </c>
      <c r="M209" s="348">
        <f>Products!E994</f>
        <v>260</v>
      </c>
    </row>
    <row r="210" spans="2:13">
      <c r="F210" s="96"/>
      <c r="G210" s="96"/>
      <c r="H210" s="31"/>
      <c r="I210" s="31"/>
      <c r="J210" s="360"/>
      <c r="K210" s="347"/>
      <c r="L210" s="341" t="str">
        <f>Products!B995</f>
        <v>накладка на завіси (1 к-т)</v>
      </c>
      <c r="M210" s="348">
        <f>Products!E995</f>
        <v>80</v>
      </c>
    </row>
    <row r="211" spans="2:13" ht="21">
      <c r="F211" s="96"/>
      <c r="G211" s="96"/>
      <c r="H211" s="31"/>
      <c r="I211" s="31"/>
      <c r="J211" s="360"/>
      <c r="K211" s="347"/>
      <c r="L211" s="341" t="str">
        <f>Products!B996</f>
        <v>дверна ручка</v>
      </c>
      <c r="M211" s="348" t="str">
        <f>Products!E996</f>
        <v>див. Таблицю Ручки</v>
      </c>
    </row>
    <row r="212" spans="2:13">
      <c r="B212" s="591" t="str">
        <f>Products!B1047</f>
        <v>Полотна збірні: ЛІСА</v>
      </c>
      <c r="C212" s="592"/>
      <c r="D212" s="592"/>
      <c r="E212" s="592"/>
      <c r="F212" s="169"/>
      <c r="G212" s="169"/>
      <c r="H212" s="169"/>
      <c r="I212" s="169"/>
      <c r="J212" s="342"/>
      <c r="K212" s="342"/>
      <c r="L212" s="354"/>
      <c r="M212" s="355"/>
    </row>
    <row r="213" spans="2:13" ht="27" customHeight="1">
      <c r="B213" s="594" t="str">
        <f>Products!B1049</f>
        <v>модель</v>
      </c>
      <c r="C213" s="155" t="str">
        <f>Products!C1049</f>
        <v>покриття:</v>
      </c>
      <c r="D213" s="128" t="str">
        <f>Products!D1049</f>
        <v>Verto-CELL</v>
      </c>
      <c r="E213" s="166" t="str">
        <f>Products!F1049</f>
        <v>UNI-MAT</v>
      </c>
      <c r="F213" s="129" t="str">
        <f>Products!H1049</f>
        <v>RESIST</v>
      </c>
      <c r="G213" s="129" t="str">
        <f>Products!J1049</f>
        <v>Verto LINE-3D</v>
      </c>
      <c r="H213" s="129" t="str">
        <f>Products!L1049</f>
        <v>ЕКО Шпон</v>
      </c>
      <c r="I213" s="215"/>
      <c r="J213" s="215"/>
      <c r="K213" s="356"/>
      <c r="L213" s="340" t="str">
        <f>Products!B1057</f>
        <v>полотно розміром 100</v>
      </c>
      <c r="M213" s="357">
        <f>Products!E1057</f>
        <v>720</v>
      </c>
    </row>
    <row r="214" spans="2:13" ht="24.75" customHeight="1">
      <c r="B214" s="589"/>
      <c r="C214" s="156" t="str">
        <f>Products!C1050</f>
        <v>заповнення:</v>
      </c>
      <c r="D214" s="138" t="str">
        <f>Products!D1050</f>
        <v>клеєний сосновий брус</v>
      </c>
      <c r="E214" s="167" t="str">
        <f>Products!F1050</f>
        <v>клеєний сосновий брус</v>
      </c>
      <c r="F214" s="139" t="str">
        <f>Products!H1050</f>
        <v>клеєний сосновий брус</v>
      </c>
      <c r="G214" s="139" t="str">
        <f>Products!J1050</f>
        <v>клеєний сосновий брус</v>
      </c>
      <c r="H214" s="139" t="str">
        <f>Products!L1050</f>
        <v>клеєний сосновий брус</v>
      </c>
      <c r="I214" s="215"/>
      <c r="J214" s="215"/>
      <c r="K214" s="347"/>
      <c r="L214" s="341" t="str">
        <f>Products!B1058</f>
        <v>вентиляційний підріз</v>
      </c>
      <c r="M214" s="348">
        <f>Products!E1058</f>
        <v>170.00000000000003</v>
      </c>
    </row>
    <row r="215" spans="2:13">
      <c r="B215" s="590"/>
      <c r="C215" s="157" t="str">
        <f>Products!C1051</f>
        <v>скління:</v>
      </c>
      <c r="D215" s="136" t="str">
        <f>Products!D1051</f>
        <v>Сатин</v>
      </c>
      <c r="E215" s="160" t="str">
        <f>Products!F1051</f>
        <v>Сатин</v>
      </c>
      <c r="F215" s="125" t="str">
        <f>Products!H1051</f>
        <v>Сатин</v>
      </c>
      <c r="G215" s="125" t="str">
        <f>Products!J1051</f>
        <v>Сатин</v>
      </c>
      <c r="H215" s="125" t="str">
        <f>Products!L1051</f>
        <v>Сатин</v>
      </c>
      <c r="I215" s="215"/>
      <c r="J215" s="215"/>
      <c r="K215" s="347"/>
      <c r="L215" s="341" t="str">
        <f>Products!B1059</f>
        <v>скло Графіт / Бронза</v>
      </c>
      <c r="M215" s="348">
        <f>Products!E1059</f>
        <v>550</v>
      </c>
    </row>
    <row r="216" spans="2:13">
      <c r="B216" s="13" t="str">
        <f>Products!B1052</f>
        <v>2.0 - 2.2</v>
      </c>
      <c r="C216" s="162"/>
      <c r="D216" s="183">
        <f>Products!E1052</f>
        <v>5910</v>
      </c>
      <c r="E216" s="183">
        <f>Products!G1052</f>
        <v>6520.0000000000009</v>
      </c>
      <c r="F216" s="183">
        <f>Products!I1052</f>
        <v>6710</v>
      </c>
      <c r="G216" s="183">
        <f>Products!K1052</f>
        <v>7220</v>
      </c>
      <c r="H216" s="183">
        <f>Products!M1052</f>
        <v>7570</v>
      </c>
      <c r="I216" s="31"/>
      <c r="J216" s="360"/>
      <c r="K216" s="347"/>
      <c r="L216" s="341" t="str">
        <f>Products!B1060</f>
        <v>скло Lacobel чорне</v>
      </c>
      <c r="M216" s="348">
        <f>Products!E1060</f>
        <v>550</v>
      </c>
    </row>
    <row r="217" spans="2:13">
      <c r="B217" s="280" t="str">
        <f>Products!B1053</f>
        <v>3.0 - 3.4</v>
      </c>
      <c r="C217" s="281"/>
      <c r="D217" s="282">
        <f>Products!E1053</f>
        <v>5910</v>
      </c>
      <c r="E217" s="282">
        <f>Products!G1053</f>
        <v>6520.0000000000009</v>
      </c>
      <c r="F217" s="282">
        <f>Products!I1053</f>
        <v>6710</v>
      </c>
      <c r="G217" s="282">
        <f>Products!K1053</f>
        <v>7220</v>
      </c>
      <c r="H217" s="282">
        <f>Products!M1053</f>
        <v>7570</v>
      </c>
      <c r="I217" s="31"/>
      <c r="J217" s="360"/>
      <c r="K217" s="347"/>
      <c r="L217" s="341" t="str">
        <f>Products!B1061</f>
        <v>замок Soft</v>
      </c>
      <c r="M217" s="348">
        <f>Products!E1061</f>
        <v>550</v>
      </c>
    </row>
    <row r="218" spans="2:13">
      <c r="F218" s="96"/>
      <c r="G218" s="96"/>
      <c r="H218" s="31"/>
      <c r="I218" s="31"/>
      <c r="J218" s="360"/>
      <c r="K218" s="347"/>
      <c r="L218" s="341" t="str">
        <f>Products!B1062</f>
        <v>замок Soft чорн.</v>
      </c>
      <c r="M218" s="348">
        <f>Products!E1062</f>
        <v>680.00000000000011</v>
      </c>
    </row>
    <row r="219" spans="2:13">
      <c r="F219" s="96"/>
      <c r="G219" s="96"/>
      <c r="H219" s="31"/>
      <c r="I219" s="31"/>
      <c r="J219" s="360"/>
      <c r="K219" s="347"/>
      <c r="L219" s="341" t="str">
        <f>Products!B1063</f>
        <v>замок Magnet</v>
      </c>
      <c r="M219" s="348">
        <f>Products!E1063</f>
        <v>800.00000000000011</v>
      </c>
    </row>
    <row r="220" spans="2:13">
      <c r="C220" s="34"/>
      <c r="D220" s="34"/>
      <c r="E220" s="34"/>
      <c r="H220" s="31"/>
      <c r="I220" s="31"/>
      <c r="J220" s="360"/>
      <c r="K220" s="347"/>
      <c r="L220" s="341" t="str">
        <f>Products!B1064</f>
        <v>замок Magnet чорн.</v>
      </c>
      <c r="M220" s="348">
        <f>Products!E1064</f>
        <v>1000</v>
      </c>
    </row>
    <row r="221" spans="2:13">
      <c r="C221" s="34"/>
      <c r="D221" s="34"/>
      <c r="E221" s="34"/>
      <c r="H221" s="31"/>
      <c r="I221" s="31"/>
      <c r="J221" s="360"/>
      <c r="K221" s="347"/>
      <c r="L221" s="341" t="str">
        <f>Products!B1065</f>
        <v>ручка-замок (для дверей купе)</v>
      </c>
      <c r="M221" s="348">
        <f>Products!E1065</f>
        <v>560</v>
      </c>
    </row>
    <row r="222" spans="2:13">
      <c r="C222" s="34"/>
      <c r="D222" s="34"/>
      <c r="E222" s="34"/>
      <c r="H222" s="31"/>
      <c r="I222" s="31"/>
      <c r="J222" s="360"/>
      <c r="K222" s="347"/>
      <c r="L222" s="341" t="str">
        <f>Products!B1066</f>
        <v>циліндр несиметричний</v>
      </c>
      <c r="M222" s="348">
        <f>Products!E1066</f>
        <v>390</v>
      </c>
    </row>
    <row r="223" spans="2:13">
      <c r="F223" s="96"/>
      <c r="G223" s="96"/>
      <c r="H223" s="31"/>
      <c r="I223" s="31"/>
      <c r="J223" s="360"/>
      <c r="K223" s="347"/>
      <c r="L223" s="341" t="str">
        <f>Products!B1067</f>
        <v>завіса Prestige (1 шт)</v>
      </c>
      <c r="M223" s="348">
        <f>Products!E1067</f>
        <v>260</v>
      </c>
    </row>
    <row r="224" spans="2:13">
      <c r="C224" s="34"/>
      <c r="D224" s="34"/>
      <c r="E224" s="34"/>
      <c r="F224" s="31"/>
      <c r="G224" s="31"/>
      <c r="J224" s="352"/>
      <c r="K224" s="347"/>
      <c r="L224" s="341" t="str">
        <f>Products!B1068</f>
        <v>накладка на завіси (1 к-т)</v>
      </c>
      <c r="M224" s="348">
        <f>Products!E1068</f>
        <v>80</v>
      </c>
    </row>
    <row r="225" spans="1:13" ht="21">
      <c r="C225" s="34"/>
      <c r="D225" s="34"/>
      <c r="E225" s="34"/>
      <c r="F225" s="31"/>
      <c r="G225" s="31"/>
      <c r="J225" s="352"/>
      <c r="K225" s="347"/>
      <c r="L225" s="341" t="str">
        <f>Products!B1069</f>
        <v>дверна ручка</v>
      </c>
      <c r="M225" s="348" t="str">
        <f>Products!E1069</f>
        <v>див. Таблицю Ручки</v>
      </c>
    </row>
    <row r="226" spans="1:13" s="31" customFormat="1" ht="12.75" customHeight="1">
      <c r="B226" s="591" t="str">
        <f>TITLE!$C$24</f>
        <v>Полотна збірні: ЛАДА-КОНЦЕПТ</v>
      </c>
      <c r="C226" s="592"/>
      <c r="D226" s="592"/>
      <c r="E226" s="592"/>
      <c r="F226" s="169"/>
      <c r="G226" s="169"/>
      <c r="H226" s="169"/>
      <c r="I226" s="169"/>
      <c r="J226" s="342"/>
      <c r="K226" s="342"/>
      <c r="L226" s="354"/>
      <c r="M226" s="355"/>
    </row>
    <row r="227" spans="1:13" ht="26.25" customHeight="1">
      <c r="A227" s="31"/>
      <c r="B227" s="594" t="str">
        <f>Products!B1122</f>
        <v>модель</v>
      </c>
      <c r="C227" s="155" t="str">
        <f>Products!C1122</f>
        <v>покриття:</v>
      </c>
      <c r="D227" s="128" t="str">
        <f>Products!D1122</f>
        <v>Verto-CELL</v>
      </c>
      <c r="E227" s="166" t="str">
        <f>Products!F1122</f>
        <v>UNI-MAT</v>
      </c>
      <c r="F227" s="129" t="str">
        <f>Products!H1122</f>
        <v>RESIST</v>
      </c>
      <c r="G227" s="129" t="str">
        <f>Products!J1122</f>
        <v>Verto LINE-3D</v>
      </c>
      <c r="H227" s="129" t="str">
        <f>Products!L1122</f>
        <v>ЕКО Шпон</v>
      </c>
      <c r="I227" s="215"/>
      <c r="J227" s="215"/>
      <c r="K227" s="356"/>
      <c r="L227" s="340" t="str">
        <f>Products!B1134</f>
        <v>полотно розміром 100</v>
      </c>
      <c r="M227" s="357">
        <f>Products!E1134</f>
        <v>720</v>
      </c>
    </row>
    <row r="228" spans="1:13" ht="24" customHeight="1">
      <c r="A228" s="31"/>
      <c r="B228" s="589"/>
      <c r="C228" s="156" t="str">
        <f>Products!C1123</f>
        <v>заповнення:</v>
      </c>
      <c r="D228" s="138" t="str">
        <f>Products!D1123</f>
        <v>клеєний сосновий брус</v>
      </c>
      <c r="E228" s="167" t="str">
        <f>Products!F1123</f>
        <v>клеєний сосновий брус</v>
      </c>
      <c r="F228" s="139" t="str">
        <f>Products!H1123</f>
        <v>клеєний сосновий брус</v>
      </c>
      <c r="G228" s="139" t="str">
        <f>Products!J1123</f>
        <v>клеєний сосновий брус</v>
      </c>
      <c r="H228" s="139" t="str">
        <f>Products!L1123</f>
        <v>клеєний сосновий брус</v>
      </c>
      <c r="I228" s="215"/>
      <c r="J228" s="215"/>
      <c r="K228" s="347"/>
      <c r="L228" s="341" t="str">
        <f>Products!B1135</f>
        <v>вентиляційні віддушини (1ряд)</v>
      </c>
      <c r="M228" s="348">
        <f>Products!E1135</f>
        <v>250</v>
      </c>
    </row>
    <row r="229" spans="1:13" ht="12.75" customHeight="1">
      <c r="A229" s="31"/>
      <c r="B229" s="590"/>
      <c r="C229" s="157" t="str">
        <f>Products!C1124</f>
        <v>скління:</v>
      </c>
      <c r="D229" s="136" t="str">
        <f>Products!D1124</f>
        <v>Сатин</v>
      </c>
      <c r="E229" s="160" t="str">
        <f>Products!F1124</f>
        <v>Сатин</v>
      </c>
      <c r="F229" s="125" t="str">
        <f>Products!H1124</f>
        <v>Сатин</v>
      </c>
      <c r="G229" s="125" t="str">
        <f>Products!J1124</f>
        <v>Сатин</v>
      </c>
      <c r="H229" s="125" t="str">
        <f>Products!L1124</f>
        <v>Сатин</v>
      </c>
      <c r="I229" s="215"/>
      <c r="J229" s="215"/>
      <c r="K229" s="347"/>
      <c r="L229" s="341" t="str">
        <f>Products!B1136</f>
        <v>вентиляційний підріз</v>
      </c>
      <c r="M229" s="348">
        <f>Products!E1136</f>
        <v>170.00000000000003</v>
      </c>
    </row>
    <row r="230" spans="1:13">
      <c r="A230" s="31"/>
      <c r="B230" s="16" t="str">
        <f>Products!B1125</f>
        <v>2.0 - 2.2</v>
      </c>
      <c r="C230" s="163"/>
      <c r="D230" s="191">
        <f>Products!E1125</f>
        <v>6150</v>
      </c>
      <c r="E230" s="184">
        <f>Products!G1125</f>
        <v>6820.0000000000009</v>
      </c>
      <c r="F230" s="185">
        <f>Products!I1125</f>
        <v>7030.0000000000009</v>
      </c>
      <c r="G230" s="185">
        <f>Products!K1125</f>
        <v>7670</v>
      </c>
      <c r="H230" s="185">
        <f>Products!M1125</f>
        <v>8040</v>
      </c>
      <c r="I230" s="223"/>
      <c r="J230" s="223"/>
      <c r="K230" s="347"/>
      <c r="L230" s="341" t="str">
        <f>Products!B1137</f>
        <v>скло Графіт / Бронза</v>
      </c>
      <c r="M230" s="348">
        <f>Products!E1137</f>
        <v>550</v>
      </c>
    </row>
    <row r="231" spans="1:13">
      <c r="A231" s="31"/>
      <c r="B231" s="16" t="str">
        <f>Products!B1126</f>
        <v>3.0 - 3.3</v>
      </c>
      <c r="C231" s="163"/>
      <c r="D231" s="191">
        <f>Products!E1126</f>
        <v>6370.0000000000009</v>
      </c>
      <c r="E231" s="184">
        <f>Products!G1126</f>
        <v>7080</v>
      </c>
      <c r="F231" s="185">
        <f>Products!I1126</f>
        <v>7300.0000000000009</v>
      </c>
      <c r="G231" s="185">
        <f>Products!K1126</f>
        <v>7820</v>
      </c>
      <c r="H231" s="185">
        <f>Products!M1126</f>
        <v>8170</v>
      </c>
      <c r="I231" s="223"/>
      <c r="J231" s="223"/>
      <c r="K231" s="347"/>
      <c r="L231" s="341" t="str">
        <f>Products!B1138</f>
        <v>скло Lacobel чорне</v>
      </c>
      <c r="M231" s="348">
        <f>Products!E1138</f>
        <v>550</v>
      </c>
    </row>
    <row r="232" spans="1:13">
      <c r="A232" s="31"/>
      <c r="B232" s="16" t="str">
        <f>Products!B1127</f>
        <v>4.0 - 4.4</v>
      </c>
      <c r="C232" s="163"/>
      <c r="D232" s="191">
        <f>Products!E1127</f>
        <v>6720</v>
      </c>
      <c r="E232" s="184">
        <f>Products!G1127</f>
        <v>7460</v>
      </c>
      <c r="F232" s="185">
        <f>Products!I1127</f>
        <v>7680</v>
      </c>
      <c r="G232" s="185">
        <f>Products!K1127</f>
        <v>8550</v>
      </c>
      <c r="H232" s="185">
        <f>Products!M1127</f>
        <v>8610</v>
      </c>
      <c r="I232" s="223"/>
      <c r="J232" s="223"/>
      <c r="K232" s="347"/>
      <c r="L232" s="341" t="str">
        <f>Products!B1139</f>
        <v>замок Soft</v>
      </c>
      <c r="M232" s="348">
        <f>Products!E1139</f>
        <v>550</v>
      </c>
    </row>
    <row r="233" spans="1:13">
      <c r="A233" s="31"/>
      <c r="B233" s="16" t="str">
        <f>Products!B1128</f>
        <v>5.1.</v>
      </c>
      <c r="C233" s="163"/>
      <c r="D233" s="191">
        <f>Products!E1128</f>
        <v>6370.0000000000009</v>
      </c>
      <c r="E233" s="184">
        <f>Products!G1128</f>
        <v>7080</v>
      </c>
      <c r="F233" s="185">
        <f>Products!I1128</f>
        <v>7300.0000000000009</v>
      </c>
      <c r="G233" s="185">
        <f>Products!K1128</f>
        <v>7820</v>
      </c>
      <c r="H233" s="185">
        <f>Products!M1128</f>
        <v>8170</v>
      </c>
      <c r="I233" s="223"/>
      <c r="J233" s="223"/>
      <c r="K233" s="347"/>
      <c r="L233" s="341" t="str">
        <f>Products!B1140</f>
        <v>замок Soft чорн.</v>
      </c>
      <c r="M233" s="348">
        <f>Products!E1140</f>
        <v>680.00000000000011</v>
      </c>
    </row>
    <row r="234" spans="1:13">
      <c r="A234" s="31"/>
      <c r="B234" s="16" t="str">
        <f>Products!B1129</f>
        <v>5.2.</v>
      </c>
      <c r="C234" s="163"/>
      <c r="D234" s="191">
        <f>Products!E1129</f>
        <v>6060</v>
      </c>
      <c r="E234" s="184">
        <f>Products!G1129</f>
        <v>6720</v>
      </c>
      <c r="F234" s="185">
        <f>Products!I1129</f>
        <v>6930</v>
      </c>
      <c r="G234" s="185">
        <f>Products!K1129</f>
        <v>7480</v>
      </c>
      <c r="H234" s="185">
        <f>Products!M1129</f>
        <v>7830</v>
      </c>
      <c r="I234" s="223"/>
      <c r="J234" s="223"/>
      <c r="K234" s="347"/>
      <c r="L234" s="341" t="str">
        <f>Products!B1141</f>
        <v>замок Magnet</v>
      </c>
      <c r="M234" s="348">
        <f>Products!E1141</f>
        <v>800.00000000000011</v>
      </c>
    </row>
    <row r="235" spans="1:13">
      <c r="A235" s="31"/>
      <c r="B235" s="23" t="str">
        <f>Products!B1130</f>
        <v>5.3.</v>
      </c>
      <c r="C235" s="164"/>
      <c r="D235" s="192">
        <f>Products!E1130</f>
        <v>5740.0000000000009</v>
      </c>
      <c r="E235" s="186">
        <f>Products!G1130</f>
        <v>6360</v>
      </c>
      <c r="F235" s="187">
        <f>Products!I1130</f>
        <v>6580.0000000000009</v>
      </c>
      <c r="G235" s="187">
        <f>Products!K1130</f>
        <v>7030.0000000000009</v>
      </c>
      <c r="H235" s="187">
        <f>Products!M1130</f>
        <v>7320</v>
      </c>
      <c r="I235" s="223"/>
      <c r="J235" s="223"/>
      <c r="K235" s="347"/>
      <c r="L235" s="341" t="str">
        <f>Products!B1142</f>
        <v>замок Magnet чорн.</v>
      </c>
      <c r="M235" s="348">
        <f>Products!E1142</f>
        <v>1000</v>
      </c>
    </row>
    <row r="236" spans="1:13">
      <c r="A236" s="31"/>
      <c r="B236" s="312"/>
      <c r="C236" s="313"/>
      <c r="D236" s="195"/>
      <c r="E236" s="195"/>
      <c r="F236" s="195"/>
      <c r="G236" s="195"/>
      <c r="H236" s="223"/>
      <c r="I236" s="223"/>
      <c r="J236" s="223"/>
      <c r="K236" s="347"/>
      <c r="L236" s="341" t="str">
        <f>Products!B1143</f>
        <v>ручка-замок (для дверей купе)</v>
      </c>
      <c r="M236" s="348">
        <f>Products!E1143</f>
        <v>560</v>
      </c>
    </row>
    <row r="237" spans="1:13">
      <c r="A237" s="31"/>
      <c r="B237" s="174"/>
      <c r="C237" s="175"/>
      <c r="D237" s="198"/>
      <c r="E237" s="198"/>
      <c r="F237" s="198"/>
      <c r="G237" s="198"/>
      <c r="H237" s="223"/>
      <c r="I237" s="223"/>
      <c r="J237" s="223"/>
      <c r="K237" s="347"/>
      <c r="L237" s="341" t="str">
        <f>Products!B1144</f>
        <v>циліндр несиметричний</v>
      </c>
      <c r="M237" s="348">
        <f>Products!E1144</f>
        <v>380</v>
      </c>
    </row>
    <row r="238" spans="1:13">
      <c r="C238" s="34"/>
      <c r="D238" s="34"/>
      <c r="E238" s="34"/>
      <c r="F238" s="31"/>
      <c r="G238" s="31"/>
      <c r="J238" s="352"/>
      <c r="K238" s="347"/>
      <c r="L238" s="341" t="str">
        <f>Products!B1145</f>
        <v>завіса Prestige (1 шт)</v>
      </c>
      <c r="M238" s="348">
        <f>Products!E1145</f>
        <v>260</v>
      </c>
    </row>
    <row r="239" spans="1:13" ht="14.45" customHeight="1">
      <c r="C239" s="34"/>
      <c r="D239" s="34"/>
      <c r="E239" s="34"/>
      <c r="F239" s="31"/>
      <c r="G239" s="31"/>
      <c r="J239" s="352"/>
      <c r="K239" s="347"/>
      <c r="L239" s="341" t="str">
        <f>Products!B1146</f>
        <v>накладка на завіси (1 к-т)</v>
      </c>
      <c r="M239" s="348">
        <f>Products!E1146</f>
        <v>80</v>
      </c>
    </row>
    <row r="240" spans="1:13" ht="14.45" customHeight="1">
      <c r="C240" s="34"/>
      <c r="D240" s="34"/>
      <c r="E240" s="34"/>
      <c r="F240" s="31"/>
      <c r="G240" s="31"/>
      <c r="J240" s="352"/>
      <c r="K240" s="347"/>
      <c r="L240" s="341" t="str">
        <f>Products!B1147</f>
        <v>дверна ручка</v>
      </c>
      <c r="M240" s="348" t="str">
        <f>Products!E1147</f>
        <v>див. Таблицю Ручки</v>
      </c>
    </row>
    <row r="241" spans="1:13" s="31" customFormat="1" ht="12.75" customHeight="1">
      <c r="B241" s="591" t="str">
        <f>TITLE!$C$25</f>
        <v>Полотна збірні: ЛАДА-НОВА</v>
      </c>
      <c r="C241" s="592"/>
      <c r="D241" s="592"/>
      <c r="E241" s="592"/>
      <c r="F241" s="169"/>
      <c r="G241" s="169"/>
      <c r="H241" s="169"/>
      <c r="I241" s="169"/>
      <c r="J241" s="342"/>
      <c r="K241" s="342"/>
      <c r="L241" s="354"/>
      <c r="M241" s="355"/>
    </row>
    <row r="242" spans="1:13" ht="26.25" customHeight="1">
      <c r="A242" s="31"/>
      <c r="B242" s="594" t="str">
        <f>Products!B1200</f>
        <v>модель</v>
      </c>
      <c r="C242" s="155" t="str">
        <f>Products!C1200</f>
        <v>покриття:</v>
      </c>
      <c r="D242" s="128" t="str">
        <f>Products!D1200</f>
        <v>Verto-CELL</v>
      </c>
      <c r="E242" s="166" t="str">
        <f>Products!F1200</f>
        <v>UNI-MAT</v>
      </c>
      <c r="F242" s="129" t="str">
        <f>Products!H1200</f>
        <v>RESIST</v>
      </c>
      <c r="G242" s="129" t="str">
        <f>Products!J1200</f>
        <v>Verto LINE-3D</v>
      </c>
      <c r="H242" s="129" t="str">
        <f>Products!L1200</f>
        <v>ЕКО Шпон</v>
      </c>
      <c r="I242" s="215"/>
      <c r="J242" s="215"/>
      <c r="K242" s="356"/>
      <c r="L242" s="340" t="str">
        <f>Products!B1212</f>
        <v>полотно розміром 100</v>
      </c>
      <c r="M242" s="357">
        <f>Products!E1212</f>
        <v>720</v>
      </c>
    </row>
    <row r="243" spans="1:13" ht="24" customHeight="1">
      <c r="A243" s="31"/>
      <c r="B243" s="589"/>
      <c r="C243" s="156" t="str">
        <f>Products!C1201</f>
        <v>заповнення:</v>
      </c>
      <c r="D243" s="138" t="str">
        <f>Products!D1201</f>
        <v>клеєний сосновий брус</v>
      </c>
      <c r="E243" s="167" t="str">
        <f>Products!F1201</f>
        <v>клеєний сосновий брус</v>
      </c>
      <c r="F243" s="139" t="str">
        <f>Products!H1201</f>
        <v>клеєний сосновий брус</v>
      </c>
      <c r="G243" s="139" t="str">
        <f>Products!J1201</f>
        <v>клеєний сосновий брус</v>
      </c>
      <c r="H243" s="139" t="str">
        <f>Products!L1201</f>
        <v>клеєний сосновий брус</v>
      </c>
      <c r="I243" s="215"/>
      <c r="J243" s="215"/>
      <c r="K243" s="347"/>
      <c r="L243" s="341" t="str">
        <f>Products!B1213</f>
        <v>вентиляційні віддушини (1ряд)</v>
      </c>
      <c r="M243" s="348">
        <f>Products!E1213</f>
        <v>250</v>
      </c>
    </row>
    <row r="244" spans="1:13" ht="12.75" customHeight="1">
      <c r="A244" s="31"/>
      <c r="B244" s="590"/>
      <c r="C244" s="157" t="str">
        <f>Products!C1202</f>
        <v>скління:</v>
      </c>
      <c r="D244" s="136" t="str">
        <f>Products!D1202</f>
        <v>Сатин</v>
      </c>
      <c r="E244" s="160" t="str">
        <f>Products!F1202</f>
        <v>Сатин</v>
      </c>
      <c r="F244" s="125" t="str">
        <f>Products!H1202</f>
        <v>Сатин</v>
      </c>
      <c r="G244" s="125" t="str">
        <f>Products!J1202</f>
        <v>Сатин</v>
      </c>
      <c r="H244" s="125" t="str">
        <f>Products!L1202</f>
        <v>Сатин</v>
      </c>
      <c r="I244" s="215"/>
      <c r="J244" s="215"/>
      <c r="K244" s="347"/>
      <c r="L244" s="341" t="str">
        <f>Products!B1214</f>
        <v>вентиляційний підріз</v>
      </c>
      <c r="M244" s="348">
        <f>Products!E1214</f>
        <v>170.00000000000003</v>
      </c>
    </row>
    <row r="245" spans="1:13">
      <c r="A245" s="31"/>
      <c r="B245" s="13" t="str">
        <f>Products!B1203</f>
        <v>4.0 - 4.9</v>
      </c>
      <c r="C245" s="162"/>
      <c r="D245" s="190">
        <f>Products!E1203</f>
        <v>7490</v>
      </c>
      <c r="E245" s="182">
        <f>Products!G1203</f>
        <v>8320</v>
      </c>
      <c r="F245" s="182">
        <f>Products!I1203</f>
        <v>8650</v>
      </c>
      <c r="G245" s="182">
        <f>Products!K1203</f>
        <v>9430</v>
      </c>
      <c r="H245" s="182">
        <f>Products!M1203</f>
        <v>9900</v>
      </c>
      <c r="J245" s="352"/>
      <c r="K245" s="347"/>
      <c r="L245" s="341" t="str">
        <f>Products!B1215</f>
        <v>скло Графіт / Бронза</v>
      </c>
      <c r="M245" s="348">
        <f>Products!E1215</f>
        <v>550</v>
      </c>
    </row>
    <row r="246" spans="1:13">
      <c r="A246" s="31"/>
      <c r="B246" s="16" t="str">
        <f>Products!B1204</f>
        <v>6А.1-6А.0</v>
      </c>
      <c r="C246" s="163"/>
      <c r="D246" s="191">
        <f>Products!E1204</f>
        <v>5730</v>
      </c>
      <c r="E246" s="184">
        <f>Products!G1204</f>
        <v>6360</v>
      </c>
      <c r="F246" s="184">
        <f>Products!I1204</f>
        <v>6720</v>
      </c>
      <c r="G246" s="184">
        <f>Products!K1204</f>
        <v>7210.0000000000009</v>
      </c>
      <c r="H246" s="184">
        <f>Products!M1204</f>
        <v>7540</v>
      </c>
      <c r="J246" s="352"/>
      <c r="K246" s="347"/>
      <c r="L246" s="341" t="str">
        <f>Products!B1216</f>
        <v>скло Lacobel чорне</v>
      </c>
      <c r="M246" s="348">
        <f>Products!E1216</f>
        <v>550</v>
      </c>
    </row>
    <row r="247" spans="1:13">
      <c r="A247" s="31"/>
      <c r="B247" s="16" t="str">
        <f>Products!B1205</f>
        <v>6А.5</v>
      </c>
      <c r="C247" s="163"/>
      <c r="D247" s="191">
        <f>Products!E1205</f>
        <v>6650</v>
      </c>
      <c r="E247" s="184">
        <f>Products!G1205</f>
        <v>7380</v>
      </c>
      <c r="F247" s="184">
        <f>Products!I1205</f>
        <v>7780</v>
      </c>
      <c r="G247" s="184">
        <f>Products!K1205</f>
        <v>8550</v>
      </c>
      <c r="H247" s="184">
        <f>Products!M1205</f>
        <v>8960</v>
      </c>
      <c r="J247" s="352"/>
      <c r="K247" s="347"/>
      <c r="L247" s="341" t="str">
        <f>Products!B1217</f>
        <v>замок Soft</v>
      </c>
      <c r="M247" s="348">
        <f>Products!E1217</f>
        <v>550</v>
      </c>
    </row>
    <row r="248" spans="1:13">
      <c r="A248" s="31"/>
      <c r="B248" s="16" t="str">
        <f>Products!B1206</f>
        <v>7.1.</v>
      </c>
      <c r="C248" s="163"/>
      <c r="D248" s="191">
        <f>Products!E1206</f>
        <v>7290</v>
      </c>
      <c r="E248" s="184">
        <f>Products!G1206</f>
        <v>8100</v>
      </c>
      <c r="F248" s="184">
        <f>Products!I1206</f>
        <v>8620</v>
      </c>
      <c r="G248" s="184">
        <f>Products!K1206</f>
        <v>9490</v>
      </c>
      <c r="H248" s="184">
        <f>Products!M1206</f>
        <v>10040.000000000002</v>
      </c>
      <c r="J248" s="352"/>
      <c r="K248" s="347"/>
      <c r="L248" s="341" t="str">
        <f>Products!B1218</f>
        <v>замок Soft чорн.</v>
      </c>
      <c r="M248" s="348">
        <f>Products!E1218</f>
        <v>680.00000000000011</v>
      </c>
    </row>
    <row r="249" spans="1:13">
      <c r="A249" s="31"/>
      <c r="B249" s="16" t="str">
        <f>Products!B1207</f>
        <v>7.2.</v>
      </c>
      <c r="C249" s="163"/>
      <c r="D249" s="191">
        <f>Products!E1207</f>
        <v>6650</v>
      </c>
      <c r="E249" s="184">
        <f>Products!G1207</f>
        <v>7380</v>
      </c>
      <c r="F249" s="184">
        <f>Products!I1207</f>
        <v>7800</v>
      </c>
      <c r="G249" s="184">
        <f>Products!K1207</f>
        <v>8550</v>
      </c>
      <c r="H249" s="184">
        <f>Products!M1207</f>
        <v>8960</v>
      </c>
      <c r="J249" s="352"/>
      <c r="K249" s="347"/>
      <c r="L249" s="341" t="str">
        <f>Products!B1219</f>
        <v>замок Magnet</v>
      </c>
      <c r="M249" s="348">
        <f>Products!E1219</f>
        <v>800.00000000000011</v>
      </c>
    </row>
    <row r="250" spans="1:13">
      <c r="A250" s="31"/>
      <c r="B250" s="23" t="str">
        <f>Products!B1208</f>
        <v>8.1.</v>
      </c>
      <c r="C250" s="164"/>
      <c r="D250" s="192">
        <f>Products!E1208</f>
        <v>6650</v>
      </c>
      <c r="E250" s="186">
        <f>Products!G1208</f>
        <v>7380</v>
      </c>
      <c r="F250" s="186">
        <f>Products!I1208</f>
        <v>7800</v>
      </c>
      <c r="G250" s="186">
        <f>Products!K1208</f>
        <v>8550</v>
      </c>
      <c r="H250" s="186">
        <f>Products!M1208</f>
        <v>8960</v>
      </c>
      <c r="J250" s="352"/>
      <c r="K250" s="347"/>
      <c r="L250" s="341" t="str">
        <f>Products!B1220</f>
        <v>замок Magnet чорн.</v>
      </c>
      <c r="M250" s="348">
        <f>Products!E1220</f>
        <v>1000</v>
      </c>
    </row>
    <row r="251" spans="1:13" ht="13.5">
      <c r="B251" s="224"/>
      <c r="C251" s="34"/>
      <c r="D251" s="34"/>
      <c r="E251" s="34"/>
      <c r="F251" s="31"/>
      <c r="J251" s="352"/>
      <c r="K251" s="347"/>
      <c r="L251" s="341" t="str">
        <f>Products!B1221</f>
        <v>ручка-замок (для дверей купе)</v>
      </c>
      <c r="M251" s="348">
        <f>Products!E1221</f>
        <v>560</v>
      </c>
    </row>
    <row r="252" spans="1:13" ht="13.5">
      <c r="B252" s="224"/>
      <c r="C252" s="34"/>
      <c r="D252" s="34"/>
      <c r="E252" s="34"/>
      <c r="F252" s="31"/>
      <c r="J252" s="352"/>
      <c r="K252" s="347"/>
      <c r="L252" s="341" t="str">
        <f>Products!B1222</f>
        <v>циліндр несиметричний</v>
      </c>
      <c r="M252" s="348">
        <f>Products!E1222</f>
        <v>380</v>
      </c>
    </row>
    <row r="253" spans="1:13" ht="13.5">
      <c r="B253" s="224"/>
      <c r="C253" s="34"/>
      <c r="D253" s="34"/>
      <c r="E253" s="34"/>
      <c r="F253" s="31"/>
      <c r="J253" s="352"/>
      <c r="K253" s="347"/>
      <c r="L253" s="341" t="str">
        <f>Products!B1223</f>
        <v>завіса Prestige (1 шт)</v>
      </c>
      <c r="M253" s="348">
        <f>Products!E1223</f>
        <v>260</v>
      </c>
    </row>
    <row r="254" spans="1:13" ht="13.5">
      <c r="B254" s="224"/>
      <c r="C254" s="34"/>
      <c r="D254" s="34"/>
      <c r="E254" s="34"/>
      <c r="F254" s="31"/>
      <c r="J254" s="352"/>
      <c r="K254" s="347"/>
      <c r="L254" s="341" t="str">
        <f>Products!B1224</f>
        <v>накладка на завіси (1 к-т)</v>
      </c>
      <c r="M254" s="348">
        <f>Products!E1224</f>
        <v>80</v>
      </c>
    </row>
    <row r="255" spans="1:13" ht="21">
      <c r="B255" s="224"/>
      <c r="C255" s="34"/>
      <c r="D255" s="34"/>
      <c r="E255" s="34"/>
      <c r="F255" s="31"/>
      <c r="J255" s="352"/>
      <c r="K255" s="347"/>
      <c r="L255" s="341" t="str">
        <f>Products!B1225</f>
        <v>дверна ручка</v>
      </c>
      <c r="M255" s="348" t="str">
        <f>Products!E1225</f>
        <v>див. Таблицю Ручки</v>
      </c>
    </row>
    <row r="256" spans="1:13">
      <c r="B256" s="591" t="str">
        <f>TITLE!$C$26</f>
        <v>Полотна збірні: ЛАДА-ЛОФТ</v>
      </c>
      <c r="C256" s="592"/>
      <c r="D256" s="592"/>
      <c r="E256" s="592"/>
      <c r="F256" s="169"/>
      <c r="G256" s="169"/>
      <c r="H256" s="169"/>
      <c r="I256" s="169"/>
      <c r="J256" s="342"/>
      <c r="K256" s="342"/>
      <c r="L256" s="354"/>
      <c r="M256" s="355"/>
    </row>
    <row r="257" spans="2:13" ht="25.5" customHeight="1">
      <c r="B257" s="594" t="str">
        <f>Products!B1325</f>
        <v>модель</v>
      </c>
      <c r="C257" s="155" t="str">
        <f>Products!C1325</f>
        <v>покриття:</v>
      </c>
      <c r="D257" s="128" t="str">
        <f>Products!D1325</f>
        <v>Verto-CELL</v>
      </c>
      <c r="E257" s="166" t="str">
        <f>Products!F1325</f>
        <v>UNI-MAT</v>
      </c>
      <c r="F257" s="129" t="str">
        <f>Products!H1325</f>
        <v>RESIST</v>
      </c>
      <c r="G257" s="129" t="str">
        <f>Products!J1325</f>
        <v>Verto LINE-3D</v>
      </c>
      <c r="H257" s="129" t="str">
        <f>Products!L1325</f>
        <v>ЕКО Шпон</v>
      </c>
      <c r="I257" s="215"/>
      <c r="J257" s="215"/>
      <c r="K257" s="356"/>
      <c r="L257" s="340" t="str">
        <f>Products!B1336</f>
        <v>полотно розміром 100</v>
      </c>
      <c r="M257" s="357">
        <f>Products!E1336</f>
        <v>720</v>
      </c>
    </row>
    <row r="258" spans="2:13" ht="24.75" customHeight="1">
      <c r="B258" s="589"/>
      <c r="C258" s="156" t="str">
        <f>Products!C1326</f>
        <v>заповнення:</v>
      </c>
      <c r="D258" s="138" t="str">
        <f>Products!D1326</f>
        <v>клеєний сосновий брус</v>
      </c>
      <c r="E258" s="167" t="str">
        <f>Products!F1326</f>
        <v>клеєний сосновий брус</v>
      </c>
      <c r="F258" s="139" t="str">
        <f>Products!H1326</f>
        <v>клеєний сосновий брус</v>
      </c>
      <c r="G258" s="139" t="str">
        <f>Products!J1326</f>
        <v>клеєний сосновий брус</v>
      </c>
      <c r="H258" s="139" t="str">
        <f>Products!L1326</f>
        <v>клеєний сосновий брус</v>
      </c>
      <c r="I258" s="215"/>
      <c r="J258" s="215"/>
      <c r="K258" s="347"/>
      <c r="L258" s="341" t="str">
        <f>Products!B1337</f>
        <v>вентиляційні віддушини (1ряд)</v>
      </c>
      <c r="M258" s="348">
        <f>Products!E1337</f>
        <v>250</v>
      </c>
    </row>
    <row r="259" spans="2:13">
      <c r="B259" s="590"/>
      <c r="C259" s="157" t="str">
        <f>Products!C1327</f>
        <v>скління:</v>
      </c>
      <c r="D259" s="136" t="str">
        <f>Products!D1327</f>
        <v>Сатин</v>
      </c>
      <c r="E259" s="160" t="str">
        <f>Products!F1327</f>
        <v>Сатин</v>
      </c>
      <c r="F259" s="125" t="str">
        <f>Products!H1327</f>
        <v>Сатин</v>
      </c>
      <c r="G259" s="125" t="str">
        <f>Products!J1327</f>
        <v>Сатин</v>
      </c>
      <c r="H259" s="125" t="str">
        <f>Products!L1327</f>
        <v>Сатин</v>
      </c>
      <c r="I259" s="215"/>
      <c r="J259" s="215"/>
      <c r="K259" s="347"/>
      <c r="L259" s="341" t="str">
        <f>Products!B1338</f>
        <v>вентиляційний підріз</v>
      </c>
      <c r="M259" s="348">
        <f>Products!E1338</f>
        <v>170.00000000000003</v>
      </c>
    </row>
    <row r="260" spans="2:13">
      <c r="B260" s="13" t="str">
        <f>Products!B1328</f>
        <v>1.0 - 1.1</v>
      </c>
      <c r="C260" s="162"/>
      <c r="D260" s="190">
        <f>Products!E1328</f>
        <v>6640.0000000000009</v>
      </c>
      <c r="E260" s="182">
        <f>Products!G1328</f>
        <v>7570</v>
      </c>
      <c r="F260" s="182">
        <f>Products!I1328</f>
        <v>7790</v>
      </c>
      <c r="G260" s="182">
        <f>Products!K1328</f>
        <v>8390</v>
      </c>
      <c r="H260" s="182">
        <f>Products!M1328</f>
        <v>8780</v>
      </c>
      <c r="J260" s="352"/>
      <c r="K260" s="347"/>
      <c r="L260" s="341" t="str">
        <f>Products!B1339</f>
        <v>скло Графіт / Бронза</v>
      </c>
      <c r="M260" s="348">
        <f>Products!E1339</f>
        <v>550</v>
      </c>
    </row>
    <row r="261" spans="2:13">
      <c r="B261" s="113" t="str">
        <f>Products!B1329</f>
        <v>3.0 - 3.1</v>
      </c>
      <c r="C261" s="172"/>
      <c r="D261" s="290">
        <f>Products!E1329</f>
        <v>6950</v>
      </c>
      <c r="E261" s="291">
        <f>Products!G1329</f>
        <v>7930</v>
      </c>
      <c r="F261" s="291">
        <f>Products!I1329</f>
        <v>8150</v>
      </c>
      <c r="G261" s="291">
        <f>Products!K1329</f>
        <v>8750</v>
      </c>
      <c r="H261" s="291">
        <f>Products!M1329</f>
        <v>9130</v>
      </c>
      <c r="J261" s="352"/>
      <c r="K261" s="347"/>
      <c r="L261" s="341" t="str">
        <f>Products!B1340</f>
        <v>скло Lacobel чорне</v>
      </c>
      <c r="M261" s="348">
        <f>Products!E1340</f>
        <v>550</v>
      </c>
    </row>
    <row r="262" spans="2:13">
      <c r="B262" s="113" t="str">
        <f>Products!B1330</f>
        <v>4.0 - 4.1</v>
      </c>
      <c r="C262" s="172"/>
      <c r="D262" s="290">
        <f>Products!E1330</f>
        <v>6640.0000000000009</v>
      </c>
      <c r="E262" s="291">
        <f>Products!G1330</f>
        <v>7570</v>
      </c>
      <c r="F262" s="291">
        <f>Products!I1330</f>
        <v>7790</v>
      </c>
      <c r="G262" s="291">
        <f>Products!K1330</f>
        <v>8390</v>
      </c>
      <c r="H262" s="291">
        <f>Products!M1330</f>
        <v>8780</v>
      </c>
      <c r="J262" s="352"/>
      <c r="K262" s="347"/>
      <c r="L262" s="341" t="str">
        <f>Products!B1341</f>
        <v>замок Soft</v>
      </c>
      <c r="M262" s="348">
        <f>Products!E1341</f>
        <v>550</v>
      </c>
    </row>
    <row r="263" spans="2:13">
      <c r="B263" s="113" t="str">
        <f>Products!B1331</f>
        <v>5.0 - 5.1</v>
      </c>
      <c r="C263" s="172"/>
      <c r="D263" s="290">
        <f>Products!E1331</f>
        <v>6660</v>
      </c>
      <c r="E263" s="291">
        <f>Products!G1331</f>
        <v>7590</v>
      </c>
      <c r="F263" s="291">
        <f>Products!I1331</f>
        <v>7890</v>
      </c>
      <c r="G263" s="291">
        <f>Products!K1331</f>
        <v>8460</v>
      </c>
      <c r="H263" s="291">
        <f>Products!M1331</f>
        <v>8850</v>
      </c>
      <c r="J263" s="352"/>
      <c r="K263" s="347"/>
      <c r="L263" s="341" t="str">
        <f>Products!B1342</f>
        <v>замок Soft чорн.</v>
      </c>
      <c r="M263" s="348">
        <f>Products!E1342</f>
        <v>680.00000000000011</v>
      </c>
    </row>
    <row r="264" spans="2:13">
      <c r="B264" s="23" t="str">
        <f>Products!B1332</f>
        <v>6.0 - 6.1</v>
      </c>
      <c r="C264" s="164"/>
      <c r="D264" s="192">
        <f>Products!E1332</f>
        <v>6780</v>
      </c>
      <c r="E264" s="186">
        <f>Products!G1332</f>
        <v>7720</v>
      </c>
      <c r="F264" s="186">
        <f>Products!I1332</f>
        <v>7920</v>
      </c>
      <c r="G264" s="186">
        <f>Products!K1332</f>
        <v>8540</v>
      </c>
      <c r="H264" s="186">
        <f>Products!M1332</f>
        <v>8930</v>
      </c>
      <c r="J264" s="352"/>
      <c r="K264" s="347"/>
      <c r="L264" s="341" t="str">
        <f>Products!B1343</f>
        <v>замок Magnet</v>
      </c>
      <c r="M264" s="348">
        <f>Products!E1343</f>
        <v>800.00000000000011</v>
      </c>
    </row>
    <row r="265" spans="2:13">
      <c r="C265" s="34"/>
      <c r="D265" s="34"/>
      <c r="E265" s="34"/>
      <c r="F265" s="31"/>
      <c r="G265" s="31"/>
      <c r="J265" s="352"/>
      <c r="K265" s="347"/>
      <c r="L265" s="341" t="str">
        <f>Products!B1344</f>
        <v>замок Magnet чорн.</v>
      </c>
      <c r="M265" s="348">
        <f>Products!E1344</f>
        <v>1000</v>
      </c>
    </row>
    <row r="266" spans="2:13">
      <c r="C266" s="34"/>
      <c r="D266" s="34"/>
      <c r="E266" s="34"/>
      <c r="F266" s="31"/>
      <c r="G266" s="31"/>
      <c r="J266" s="352"/>
      <c r="K266" s="347"/>
      <c r="L266" s="341" t="str">
        <f>Products!B1345</f>
        <v>ручка-замок (для дверей купе)</v>
      </c>
      <c r="M266" s="348">
        <f>Products!E1345</f>
        <v>560</v>
      </c>
    </row>
    <row r="267" spans="2:13" ht="13.5">
      <c r="B267" s="224"/>
      <c r="C267" s="34"/>
      <c r="D267" s="34"/>
      <c r="E267" s="34"/>
      <c r="F267" s="31"/>
      <c r="J267" s="352"/>
      <c r="K267" s="347"/>
      <c r="L267" s="341" t="str">
        <f>Products!B1346</f>
        <v>циліндр несиметричний</v>
      </c>
      <c r="M267" s="348">
        <f>Products!E1346</f>
        <v>380</v>
      </c>
    </row>
    <row r="268" spans="2:13" ht="13.5">
      <c r="B268" s="224"/>
      <c r="C268" s="34"/>
      <c r="D268" s="34"/>
      <c r="E268" s="34"/>
      <c r="F268" s="31"/>
      <c r="J268" s="352"/>
      <c r="K268" s="347"/>
      <c r="L268" s="341" t="str">
        <f>Products!B1347</f>
        <v>завіса Prestige (1 шт)</v>
      </c>
      <c r="M268" s="348">
        <f>Products!E1347</f>
        <v>260</v>
      </c>
    </row>
    <row r="269" spans="2:13" ht="13.5">
      <c r="B269" s="224"/>
      <c r="C269" s="34"/>
      <c r="D269" s="34"/>
      <c r="E269" s="34"/>
      <c r="F269" s="31"/>
      <c r="J269" s="352"/>
      <c r="K269" s="347"/>
      <c r="L269" s="341" t="str">
        <f>Products!B1348</f>
        <v>накладка на завіси (1 к-т)</v>
      </c>
      <c r="M269" s="348">
        <f>Products!E1348</f>
        <v>80</v>
      </c>
    </row>
    <row r="270" spans="2:13" ht="21">
      <c r="B270" s="224"/>
      <c r="C270" s="34"/>
      <c r="D270" s="34"/>
      <c r="E270" s="34"/>
      <c r="F270" s="31"/>
      <c r="J270" s="352"/>
      <c r="K270" s="347"/>
      <c r="L270" s="341" t="str">
        <f>Products!B1349</f>
        <v>дверна ручка</v>
      </c>
      <c r="M270" s="348" t="str">
        <f>Products!E1349</f>
        <v>див. Таблицю Ручки</v>
      </c>
    </row>
    <row r="271" spans="2:13">
      <c r="B271" s="591" t="str">
        <f>Products!B1446</f>
        <v>Полотна збірні: ТІАНА</v>
      </c>
      <c r="C271" s="592"/>
      <c r="D271" s="592"/>
      <c r="E271" s="592"/>
      <c r="F271" s="169"/>
      <c r="G271" s="169"/>
      <c r="H271" s="169"/>
      <c r="I271" s="169"/>
      <c r="J271" s="342"/>
      <c r="K271" s="342"/>
      <c r="L271" s="354"/>
      <c r="M271" s="355"/>
    </row>
    <row r="272" spans="2:13" ht="27" customHeight="1">
      <c r="B272" s="594" t="str">
        <f>Products!B1448</f>
        <v>модель</v>
      </c>
      <c r="C272" s="155" t="str">
        <f>Products!C1448</f>
        <v>покриття:</v>
      </c>
      <c r="D272" s="128" t="str">
        <f>Products!D1448</f>
        <v>Verto-CELL</v>
      </c>
      <c r="E272" s="166" t="str">
        <f>Products!F1448</f>
        <v>UNI-MAT</v>
      </c>
      <c r="F272" s="129" t="str">
        <f>Products!H1448</f>
        <v>RESIST</v>
      </c>
      <c r="G272" s="129" t="str">
        <f>Products!J1448</f>
        <v>Verto LINE-3D</v>
      </c>
      <c r="H272" s="129" t="str">
        <f>Products!L1448</f>
        <v>ЕКО Шпон</v>
      </c>
      <c r="I272" s="215"/>
      <c r="J272" s="215"/>
      <c r="K272" s="356"/>
      <c r="L272" s="340" t="str">
        <f>Products!B1456</f>
        <v>полотно розміром 100</v>
      </c>
      <c r="M272" s="357">
        <f>Products!E1456</f>
        <v>720</v>
      </c>
    </row>
    <row r="273" spans="2:13" ht="26.25" customHeight="1">
      <c r="B273" s="589"/>
      <c r="C273" s="156" t="str">
        <f>Products!C1449</f>
        <v>заповнення:</v>
      </c>
      <c r="D273" s="138" t="str">
        <f>Products!D1449</f>
        <v>клеєний сосновий брус</v>
      </c>
      <c r="E273" s="167" t="str">
        <f>Products!F1449</f>
        <v>клеєний сосновий брус</v>
      </c>
      <c r="F273" s="139" t="str">
        <f>Products!H1449</f>
        <v>клеєний сосновий брус</v>
      </c>
      <c r="G273" s="139" t="str">
        <f>Products!J1449</f>
        <v>клеєний сосновий брус</v>
      </c>
      <c r="H273" s="139" t="str">
        <f>Products!L1449</f>
        <v>клеєний сосновий брус</v>
      </c>
      <c r="I273" s="215"/>
      <c r="J273" s="215"/>
      <c r="K273" s="347"/>
      <c r="L273" s="341" t="str">
        <f>Products!B1457</f>
        <v>вентиляційний підріз</v>
      </c>
      <c r="M273" s="348">
        <f>Products!E1457</f>
        <v>170.00000000000003</v>
      </c>
    </row>
    <row r="274" spans="2:13">
      <c r="B274" s="590"/>
      <c r="C274" s="157" t="str">
        <f>Products!C1450</f>
        <v>скління:</v>
      </c>
      <c r="D274" s="136" t="str">
        <f>Products!D1450</f>
        <v>Сатин</v>
      </c>
      <c r="E274" s="160" t="str">
        <f>Products!F1450</f>
        <v>Сатин</v>
      </c>
      <c r="F274" s="125" t="str">
        <f>Products!H1450</f>
        <v>Сатин</v>
      </c>
      <c r="G274" s="125" t="str">
        <f>Products!J1450</f>
        <v>Сатин</v>
      </c>
      <c r="H274" s="125" t="str">
        <f>Products!L1450</f>
        <v>Сатин</v>
      </c>
      <c r="I274" s="215"/>
      <c r="J274" s="215"/>
      <c r="K274" s="347"/>
      <c r="L274" s="341" t="str">
        <f>Products!B1458</f>
        <v>скло Графіт / Бронза</v>
      </c>
      <c r="M274" s="348">
        <f>Products!E1458</f>
        <v>550</v>
      </c>
    </row>
    <row r="275" spans="2:13">
      <c r="B275" s="13" t="str">
        <f>Products!B1451</f>
        <v>1.0 - 1.5</v>
      </c>
      <c r="C275" s="162"/>
      <c r="D275" s="183">
        <f>Products!E1451</f>
        <v>6790.0000000000009</v>
      </c>
      <c r="E275" s="183">
        <f>Products!G1451</f>
        <v>7660</v>
      </c>
      <c r="F275" s="183">
        <f>Products!I1451</f>
        <v>7890</v>
      </c>
      <c r="G275" s="183">
        <f>Products!K1451</f>
        <v>8470</v>
      </c>
      <c r="H275" s="183">
        <f>Products!M1451</f>
        <v>8870</v>
      </c>
      <c r="I275" s="31"/>
      <c r="J275" s="360"/>
      <c r="K275" s="347"/>
      <c r="L275" s="341" t="str">
        <f>Products!B1459</f>
        <v>скло Lacobel чорне</v>
      </c>
      <c r="M275" s="348">
        <f>Products!E1459</f>
        <v>550</v>
      </c>
    </row>
    <row r="276" spans="2:13">
      <c r="B276" s="280" t="str">
        <f>Products!B1452</f>
        <v>1.6 - 1.8</v>
      </c>
      <c r="C276" s="281"/>
      <c r="D276" s="282">
        <f>Products!E1452</f>
        <v>6790.0000000000009</v>
      </c>
      <c r="E276" s="282">
        <f>Products!G1452</f>
        <v>7660</v>
      </c>
      <c r="F276" s="282">
        <f>Products!I1452</f>
        <v>7890</v>
      </c>
      <c r="G276" s="282">
        <f>Products!K1452</f>
        <v>8470</v>
      </c>
      <c r="H276" s="282">
        <f>Products!M1452</f>
        <v>8870</v>
      </c>
      <c r="I276" s="31"/>
      <c r="J276" s="360"/>
      <c r="K276" s="347"/>
      <c r="L276" s="341" t="str">
        <f>Products!B1460</f>
        <v>замок Soft</v>
      </c>
      <c r="M276" s="348">
        <f>Products!E1460</f>
        <v>550</v>
      </c>
    </row>
    <row r="277" spans="2:13">
      <c r="F277" s="96"/>
      <c r="G277" s="96"/>
      <c r="H277" s="31"/>
      <c r="I277" s="31"/>
      <c r="J277" s="360"/>
      <c r="K277" s="347"/>
      <c r="L277" s="341" t="str">
        <f>Products!B1461</f>
        <v>замок Soft чорн.</v>
      </c>
      <c r="M277" s="348">
        <f>Products!E1461</f>
        <v>680.00000000000011</v>
      </c>
    </row>
    <row r="278" spans="2:13">
      <c r="F278" s="96"/>
      <c r="G278" s="96"/>
      <c r="H278" s="31"/>
      <c r="I278" s="31"/>
      <c r="J278" s="360"/>
      <c r="K278" s="347"/>
      <c r="L278" s="341" t="str">
        <f>Products!B1462</f>
        <v>замок Magnet</v>
      </c>
      <c r="M278" s="348">
        <f>Products!E1462</f>
        <v>800.00000000000011</v>
      </c>
    </row>
    <row r="279" spans="2:13">
      <c r="C279" s="34"/>
      <c r="D279" s="34"/>
      <c r="E279" s="34"/>
      <c r="H279" s="31"/>
      <c r="I279" s="31"/>
      <c r="J279" s="360"/>
      <c r="K279" s="347"/>
      <c r="L279" s="341" t="str">
        <f>Products!B1463</f>
        <v>замок Magnet чорн.</v>
      </c>
      <c r="M279" s="348">
        <f>Products!E1463</f>
        <v>1000</v>
      </c>
    </row>
    <row r="280" spans="2:13">
      <c r="C280" s="34"/>
      <c r="D280" s="34"/>
      <c r="E280" s="34"/>
      <c r="H280" s="31"/>
      <c r="I280" s="31"/>
      <c r="J280" s="360"/>
      <c r="K280" s="347"/>
      <c r="L280" s="341" t="str">
        <f>Products!B1464</f>
        <v>ручка-замок (для дверей купе)</v>
      </c>
      <c r="M280" s="348">
        <f>Products!E1464</f>
        <v>560</v>
      </c>
    </row>
    <row r="281" spans="2:13">
      <c r="F281" s="96"/>
      <c r="G281" s="96"/>
      <c r="H281" s="31"/>
      <c r="I281" s="31"/>
      <c r="J281" s="360"/>
      <c r="K281" s="347"/>
      <c r="L281" s="341" t="str">
        <f>Products!B1465</f>
        <v>циліндр несиметричний</v>
      </c>
      <c r="M281" s="348">
        <f>Products!E1465</f>
        <v>380</v>
      </c>
    </row>
    <row r="282" spans="2:13" ht="13.5">
      <c r="B282" s="224"/>
      <c r="C282" s="34"/>
      <c r="D282" s="34"/>
      <c r="E282" s="34"/>
      <c r="F282" s="31"/>
      <c r="J282" s="352"/>
      <c r="K282" s="347"/>
      <c r="L282" s="341" t="str">
        <f>Products!B1466</f>
        <v>завіса Prestige (1 шт)</v>
      </c>
      <c r="M282" s="348">
        <f>Products!E1466</f>
        <v>260</v>
      </c>
    </row>
    <row r="283" spans="2:13" ht="13.5">
      <c r="B283" s="224"/>
      <c r="C283" s="34"/>
      <c r="D283" s="34"/>
      <c r="E283" s="34"/>
      <c r="F283" s="31"/>
      <c r="J283" s="352"/>
      <c r="K283" s="347"/>
      <c r="L283" s="341" t="str">
        <f>Products!B1467</f>
        <v>накладка на завіси (1 к-т)</v>
      </c>
      <c r="M283" s="348">
        <f>Products!E1467</f>
        <v>80</v>
      </c>
    </row>
    <row r="284" spans="2:13" ht="21">
      <c r="B284" s="224"/>
      <c r="C284" s="34"/>
      <c r="D284" s="34"/>
      <c r="E284" s="34"/>
      <c r="F284" s="31"/>
      <c r="J284" s="352"/>
      <c r="K284" s="347"/>
      <c r="L284" s="341" t="str">
        <f>Products!B1468</f>
        <v>дверна ручка</v>
      </c>
      <c r="M284" s="348" t="str">
        <f>Products!E1468</f>
        <v>див. Таблицю Ручки</v>
      </c>
    </row>
    <row r="285" spans="2:13">
      <c r="B285" s="591" t="str">
        <f>Products!B1519</f>
        <v>Полотна збірні: ЄВА</v>
      </c>
      <c r="C285" s="592"/>
      <c r="D285" s="592"/>
      <c r="E285" s="592"/>
      <c r="F285" s="169"/>
      <c r="G285" s="169"/>
      <c r="H285" s="169"/>
      <c r="I285" s="169"/>
      <c r="J285" s="342"/>
      <c r="K285" s="342"/>
      <c r="L285" s="354"/>
      <c r="M285" s="355"/>
    </row>
    <row r="286" spans="2:13" ht="26.25" customHeight="1">
      <c r="B286" s="594" t="str">
        <f>Products!B1521</f>
        <v>модель</v>
      </c>
      <c r="C286" s="155" t="str">
        <f>Products!C1521</f>
        <v>покриття:</v>
      </c>
      <c r="D286" s="128" t="str">
        <f>Products!D1521</f>
        <v>Verto-CELL</v>
      </c>
      <c r="E286" s="166" t="str">
        <f>Products!F1521</f>
        <v>UNI-MAT</v>
      </c>
      <c r="F286" s="129" t="str">
        <f>Products!H1521</f>
        <v>RESIST</v>
      </c>
      <c r="G286" s="129" t="str">
        <f>Products!J1521</f>
        <v>Verto LINE-3D</v>
      </c>
      <c r="H286" s="129" t="str">
        <f>Products!L1521</f>
        <v>ЕКО Шпон</v>
      </c>
      <c r="I286" s="215"/>
      <c r="J286" s="215"/>
      <c r="K286" s="356"/>
      <c r="L286" s="340" t="str">
        <f>Products!B1530</f>
        <v>полотно розміром 100</v>
      </c>
      <c r="M286" s="357">
        <f>Products!E1530</f>
        <v>720</v>
      </c>
    </row>
    <row r="287" spans="2:13" ht="24.75" customHeight="1">
      <c r="B287" s="589"/>
      <c r="C287" s="156" t="str">
        <f>Products!C1522</f>
        <v>заповнення:</v>
      </c>
      <c r="D287" s="138" t="str">
        <f>Products!D1522</f>
        <v>клеєний сосновий брус</v>
      </c>
      <c r="E287" s="167" t="str">
        <f>Products!F1522</f>
        <v>клеєний сосновий брус</v>
      </c>
      <c r="F287" s="139" t="str">
        <f>Products!H1522</f>
        <v>клеєний сосновий брус</v>
      </c>
      <c r="G287" s="139" t="str">
        <f>Products!J1522</f>
        <v>клеєний сосновий брус</v>
      </c>
      <c r="H287" s="139" t="str">
        <f>Products!L1522</f>
        <v>клеєний сосновий брус</v>
      </c>
      <c r="I287" s="215"/>
      <c r="J287" s="215"/>
      <c r="K287" s="347"/>
      <c r="L287" s="341" t="str">
        <f>Products!B1531</f>
        <v>вентиляційний підріз</v>
      </c>
      <c r="M287" s="348">
        <f>Products!E1531</f>
        <v>170.00000000000003</v>
      </c>
    </row>
    <row r="288" spans="2:13">
      <c r="B288" s="590"/>
      <c r="C288" s="157" t="str">
        <f>Products!C1523</f>
        <v>скління:</v>
      </c>
      <c r="D288" s="136" t="str">
        <f>Products!D1523</f>
        <v>Сатин</v>
      </c>
      <c r="E288" s="160" t="str">
        <f>Products!F1523</f>
        <v>Сатин</v>
      </c>
      <c r="F288" s="125" t="str">
        <f>Products!H1523</f>
        <v>Сатин</v>
      </c>
      <c r="G288" s="125" t="str">
        <f>Products!J1523</f>
        <v>Сатин</v>
      </c>
      <c r="H288" s="125" t="str">
        <f>Products!L1523</f>
        <v>Сатин</v>
      </c>
      <c r="I288" s="215"/>
      <c r="J288" s="215"/>
      <c r="K288" s="347"/>
      <c r="L288" s="341" t="str">
        <f>Products!B1532</f>
        <v>скло Графіт / Бронза</v>
      </c>
      <c r="M288" s="348">
        <f>Products!E1532</f>
        <v>550</v>
      </c>
    </row>
    <row r="289" spans="1:13">
      <c r="B289" s="13" t="str">
        <f>Products!B1524</f>
        <v>2.0 - 2.2</v>
      </c>
      <c r="C289" s="162"/>
      <c r="D289" s="190">
        <f>Products!E1524</f>
        <v>5880</v>
      </c>
      <c r="E289" s="182">
        <f>Products!G1524</f>
        <v>6700.0000000000009</v>
      </c>
      <c r="F289" s="182">
        <f>Products!I1524</f>
        <v>7010</v>
      </c>
      <c r="G289" s="182">
        <f>Products!K1524</f>
        <v>7680</v>
      </c>
      <c r="H289" s="182">
        <f>Products!M1524</f>
        <v>8050</v>
      </c>
      <c r="I289" s="31"/>
      <c r="J289" s="360"/>
      <c r="K289" s="347"/>
      <c r="L289" s="341" t="str">
        <f>Products!B1533</f>
        <v>скло Lacobel чорне</v>
      </c>
      <c r="M289" s="348">
        <f>Products!E1533</f>
        <v>550</v>
      </c>
    </row>
    <row r="290" spans="1:13">
      <c r="B290" s="113" t="str">
        <f>Products!B1525</f>
        <v>4.0 - 4.4</v>
      </c>
      <c r="C290" s="172"/>
      <c r="D290" s="290">
        <f>Products!E1525</f>
        <v>5880</v>
      </c>
      <c r="E290" s="291">
        <f>Products!G1525</f>
        <v>6700.0000000000009</v>
      </c>
      <c r="F290" s="291">
        <f>Products!I1525</f>
        <v>7010</v>
      </c>
      <c r="G290" s="291">
        <f>Products!K1525</f>
        <v>7680</v>
      </c>
      <c r="H290" s="291">
        <f>Products!M1525</f>
        <v>8050</v>
      </c>
      <c r="I290" s="31"/>
      <c r="J290" s="360"/>
      <c r="K290" s="347"/>
      <c r="L290" s="341" t="str">
        <f>Products!B1534</f>
        <v>замок Soft</v>
      </c>
      <c r="M290" s="348">
        <f>Products!E1534</f>
        <v>550</v>
      </c>
    </row>
    <row r="291" spans="1:13">
      <c r="B291" s="23" t="str">
        <f>Products!B1526</f>
        <v>4.5 - 4.6</v>
      </c>
      <c r="C291" s="164"/>
      <c r="D291" s="192">
        <f>Products!E1526</f>
        <v>5880</v>
      </c>
      <c r="E291" s="186">
        <f>Products!G1526</f>
        <v>6700.0000000000009</v>
      </c>
      <c r="F291" s="186">
        <f>Products!I1526</f>
        <v>7010</v>
      </c>
      <c r="G291" s="186">
        <f>Products!K1526</f>
        <v>7680</v>
      </c>
      <c r="H291" s="186">
        <f>Products!M1526</f>
        <v>8050</v>
      </c>
      <c r="I291" s="31"/>
      <c r="J291" s="360"/>
      <c r="K291" s="347"/>
      <c r="L291" s="341" t="str">
        <f>Products!B1535</f>
        <v>замок Soft чорн.</v>
      </c>
      <c r="M291" s="348">
        <f>Products!E1535</f>
        <v>680.00000000000011</v>
      </c>
    </row>
    <row r="292" spans="1:13">
      <c r="F292" s="96"/>
      <c r="G292" s="96"/>
      <c r="H292" s="31"/>
      <c r="I292" s="31"/>
      <c r="J292" s="360"/>
      <c r="K292" s="347"/>
      <c r="L292" s="341" t="str">
        <f>Products!B1536</f>
        <v>замок Magnet</v>
      </c>
      <c r="M292" s="348">
        <f>Products!E1536</f>
        <v>800.00000000000011</v>
      </c>
    </row>
    <row r="293" spans="1:13">
      <c r="C293" s="34"/>
      <c r="D293" s="34"/>
      <c r="E293" s="34"/>
      <c r="H293" s="31"/>
      <c r="I293" s="31"/>
      <c r="J293" s="360"/>
      <c r="K293" s="347"/>
      <c r="L293" s="341" t="str">
        <f>Products!B1537</f>
        <v>замок Magnet чорн.</v>
      </c>
      <c r="M293" s="348">
        <f>Products!E1537</f>
        <v>1000</v>
      </c>
    </row>
    <row r="294" spans="1:13">
      <c r="C294" s="34"/>
      <c r="D294" s="34"/>
      <c r="E294" s="34"/>
      <c r="H294" s="31"/>
      <c r="I294" s="31"/>
      <c r="J294" s="360"/>
      <c r="K294" s="347"/>
      <c r="L294" s="341" t="str">
        <f>Products!B1538</f>
        <v>ручка-замок (для дверей купе)</v>
      </c>
      <c r="M294" s="348">
        <f>Products!E1538</f>
        <v>560</v>
      </c>
    </row>
    <row r="295" spans="1:13">
      <c r="F295" s="96"/>
      <c r="G295" s="96"/>
      <c r="H295" s="31"/>
      <c r="I295" s="31"/>
      <c r="J295" s="360"/>
      <c r="K295" s="347"/>
      <c r="L295" s="341" t="str">
        <f>Products!B1539</f>
        <v>циліндр несиметричний</v>
      </c>
      <c r="M295" s="348">
        <f>Products!E1539</f>
        <v>380</v>
      </c>
    </row>
    <row r="296" spans="1:13" ht="13.5">
      <c r="B296" s="224"/>
      <c r="C296" s="34"/>
      <c r="D296" s="34"/>
      <c r="E296" s="34"/>
      <c r="F296" s="31"/>
      <c r="J296" s="352"/>
      <c r="K296" s="347"/>
      <c r="L296" s="341" t="str">
        <f>Products!B1540</f>
        <v>завіса Prestige (1 шт)</v>
      </c>
      <c r="M296" s="348">
        <f>Products!E1540</f>
        <v>260</v>
      </c>
    </row>
    <row r="297" spans="1:13" ht="13.5">
      <c r="B297" s="224"/>
      <c r="C297" s="34"/>
      <c r="D297" s="34"/>
      <c r="E297" s="34"/>
      <c r="F297" s="31"/>
      <c r="J297" s="352"/>
      <c r="K297" s="347"/>
      <c r="L297" s="341" t="str">
        <f>Products!B1541</f>
        <v>накладка на завіси (1 к-т)</v>
      </c>
      <c r="M297" s="348">
        <f>Products!E1541</f>
        <v>80</v>
      </c>
    </row>
    <row r="298" spans="1:13" ht="21">
      <c r="B298" s="224"/>
      <c r="C298" s="34"/>
      <c r="D298" s="34"/>
      <c r="E298" s="34"/>
      <c r="F298" s="31"/>
      <c r="J298" s="352"/>
      <c r="K298" s="347"/>
      <c r="L298" s="341" t="str">
        <f>Products!B1542</f>
        <v>дверна ручка</v>
      </c>
      <c r="M298" s="348" t="str">
        <f>Products!E1542</f>
        <v>див. Таблицю Ручки</v>
      </c>
    </row>
    <row r="299" spans="1:13" s="31" customFormat="1" ht="12.75" customHeight="1">
      <c r="B299" s="591" t="str">
        <f>TITLE!$C$29</f>
        <v>Полотна скляні: ЛІНЕЯ</v>
      </c>
      <c r="C299" s="592"/>
      <c r="D299" s="592"/>
      <c r="E299" s="592"/>
      <c r="F299" s="169"/>
      <c r="G299" s="169"/>
      <c r="H299" s="169"/>
      <c r="I299" s="169"/>
      <c r="J299" s="342"/>
      <c r="K299" s="342"/>
      <c r="L299" s="354"/>
      <c r="M299" s="355"/>
    </row>
    <row r="300" spans="1:13" ht="12.75" customHeight="1">
      <c r="A300" s="31"/>
      <c r="B300" s="589" t="str">
        <f>Products!B1736</f>
        <v>модель</v>
      </c>
      <c r="C300" s="155" t="str">
        <f>Products!C1736</f>
        <v>покриття:</v>
      </c>
      <c r="D300" s="538" t="str">
        <f>Products!D1736</f>
        <v>VERTO-CELL</v>
      </c>
      <c r="E300" s="553"/>
      <c r="F300" s="539"/>
      <c r="G300" s="46"/>
      <c r="H300" s="215"/>
      <c r="I300" s="215"/>
      <c r="J300" s="215"/>
      <c r="K300" s="356"/>
      <c r="L300" s="340" t="str">
        <f>Products!B1745</f>
        <v>полотно розміром 100</v>
      </c>
      <c r="M300" s="357">
        <f>Products!E1745</f>
        <v>680.00000000000011</v>
      </c>
    </row>
    <row r="301" spans="1:13">
      <c r="A301" s="31"/>
      <c r="B301" s="589"/>
      <c r="C301" s="156" t="str">
        <f>Products!C1737</f>
        <v>заповнення:</v>
      </c>
      <c r="D301" s="540" t="str">
        <f>Products!D1737</f>
        <v>сотове заповнення</v>
      </c>
      <c r="E301" s="566"/>
      <c r="F301" s="541"/>
      <c r="G301" s="47"/>
      <c r="H301" s="215"/>
      <c r="I301" s="215"/>
      <c r="J301" s="215"/>
      <c r="K301" s="347"/>
      <c r="L301" s="341" t="str">
        <f>Products!B1746</f>
        <v>скло Графіт / Бронза</v>
      </c>
      <c r="M301" s="361" t="str">
        <f>Products!E1746</f>
        <v>див. Таблицю Ціни</v>
      </c>
    </row>
    <row r="302" spans="1:13" ht="12.75" customHeight="1">
      <c r="A302" s="31"/>
      <c r="B302" s="590"/>
      <c r="C302" s="157" t="str">
        <f>Products!C1738</f>
        <v>скління:</v>
      </c>
      <c r="D302" s="254" t="str">
        <f>Products!D1738</f>
        <v>Сатин</v>
      </c>
      <c r="E302" s="261" t="str">
        <f>Products!F1738</f>
        <v>Графіт / Бронза</v>
      </c>
      <c r="F302" s="262" t="str">
        <f>Products!H1738</f>
        <v>Триплекс мат/чорн</v>
      </c>
      <c r="G302" s="158"/>
      <c r="H302" s="215"/>
      <c r="I302" s="215"/>
      <c r="J302" s="215"/>
      <c r="K302" s="347"/>
      <c r="L302" s="341" t="str">
        <f>Products!B1747</f>
        <v>скло Триплекс матовий / чорний</v>
      </c>
      <c r="M302" s="361" t="str">
        <f>Products!E1747</f>
        <v>див. Таблицю Ціни</v>
      </c>
    </row>
    <row r="303" spans="1:13">
      <c r="A303" s="31"/>
      <c r="B303" s="13">
        <f>Products!B1739</f>
        <v>1</v>
      </c>
      <c r="C303" s="162"/>
      <c r="D303" s="255">
        <f>Products!E1739</f>
        <v>4840</v>
      </c>
      <c r="E303" s="263">
        <f>Products!G1739</f>
        <v>5570</v>
      </c>
      <c r="F303" s="256">
        <f>Products!I1739</f>
        <v>5960</v>
      </c>
      <c r="G303" s="198"/>
      <c r="H303" s="223"/>
      <c r="I303" s="223"/>
      <c r="J303" s="223"/>
      <c r="K303" s="347"/>
      <c r="L303" s="341" t="str">
        <f>Products!B1748</f>
        <v>замок Soft</v>
      </c>
      <c r="M303" s="361">
        <f>Products!E1748</f>
        <v>550</v>
      </c>
    </row>
    <row r="304" spans="1:13">
      <c r="A304" s="31"/>
      <c r="B304" s="16">
        <f>Products!B1740</f>
        <v>3</v>
      </c>
      <c r="C304" s="163"/>
      <c r="D304" s="257">
        <f>Products!E1740</f>
        <v>6840</v>
      </c>
      <c r="E304" s="264">
        <f>Products!G1740</f>
        <v>7800</v>
      </c>
      <c r="F304" s="258">
        <f>Products!I1740</f>
        <v>8190</v>
      </c>
      <c r="G304" s="198"/>
      <c r="H304" s="223"/>
      <c r="I304" s="223"/>
      <c r="J304" s="223"/>
      <c r="K304" s="347"/>
      <c r="L304" s="341" t="str">
        <f>Products!B1749</f>
        <v>замок Soft чорн.</v>
      </c>
      <c r="M304" s="361">
        <f>Products!E1749</f>
        <v>680.00000000000011</v>
      </c>
    </row>
    <row r="305" spans="1:13">
      <c r="A305" s="31"/>
      <c r="B305" s="23">
        <f>Products!B1741</f>
        <v>4</v>
      </c>
      <c r="C305" s="164"/>
      <c r="D305" s="259">
        <f>Products!E1741</f>
        <v>7220</v>
      </c>
      <c r="E305" s="265">
        <f>Products!G1741</f>
        <v>8320</v>
      </c>
      <c r="F305" s="260">
        <f>Products!I1741</f>
        <v>8900</v>
      </c>
      <c r="G305" s="198"/>
      <c r="H305" s="223"/>
      <c r="I305" s="223"/>
      <c r="J305" s="223"/>
      <c r="K305" s="347"/>
      <c r="L305" s="341" t="str">
        <f>Products!B1750</f>
        <v>замок Magnet</v>
      </c>
      <c r="M305" s="361">
        <f>Products!E1750</f>
        <v>800.00000000000011</v>
      </c>
    </row>
    <row r="306" spans="1:13">
      <c r="A306" s="31"/>
      <c r="G306" s="198"/>
      <c r="H306" s="223"/>
      <c r="I306" s="223"/>
      <c r="J306" s="223"/>
      <c r="K306" s="347"/>
      <c r="L306" s="341" t="str">
        <f>Products!B1751</f>
        <v>замок Magnet чорн.</v>
      </c>
      <c r="M306" s="361">
        <f>Products!E1751</f>
        <v>1000</v>
      </c>
    </row>
    <row r="307" spans="1:13">
      <c r="A307" s="31"/>
      <c r="G307" s="198"/>
      <c r="H307" s="223"/>
      <c r="I307" s="223"/>
      <c r="J307" s="223"/>
      <c r="K307" s="347"/>
      <c r="L307" s="341" t="str">
        <f>Products!B1752</f>
        <v>циліндр несиметричний</v>
      </c>
      <c r="M307" s="361">
        <f>Products!E1752</f>
        <v>380</v>
      </c>
    </row>
    <row r="308" spans="1:13">
      <c r="C308" s="34"/>
      <c r="D308" s="34"/>
      <c r="E308" s="34"/>
      <c r="F308" s="31"/>
      <c r="G308" s="31"/>
      <c r="J308" s="352"/>
      <c r="K308" s="347"/>
      <c r="L308" s="341" t="str">
        <f>Products!B1753</f>
        <v>завіса Prestige (1 шт)</v>
      </c>
      <c r="M308" s="361">
        <f>Products!E1753</f>
        <v>260</v>
      </c>
    </row>
    <row r="309" spans="1:13">
      <c r="C309" s="34"/>
      <c r="D309" s="34"/>
      <c r="E309" s="34"/>
      <c r="F309" s="31"/>
      <c r="G309" s="31"/>
      <c r="J309" s="352"/>
      <c r="K309" s="347"/>
      <c r="L309" s="341" t="str">
        <f>Products!B1754</f>
        <v>накладка на завіси (1 к-т)</v>
      </c>
      <c r="M309" s="361">
        <f>Products!E1754</f>
        <v>80</v>
      </c>
    </row>
    <row r="310" spans="1:13">
      <c r="C310" s="34"/>
      <c r="D310" s="34"/>
      <c r="E310" s="34"/>
      <c r="F310" s="31"/>
      <c r="G310" s="31"/>
      <c r="J310" s="352"/>
      <c r="K310" s="347"/>
      <c r="L310" s="341" t="str">
        <f>Products!B1755</f>
        <v>дверна ручка</v>
      </c>
      <c r="M310" s="361" t="str">
        <f>Products!E1755</f>
        <v>див. Таблицю Ручки</v>
      </c>
    </row>
    <row r="311" spans="1:13">
      <c r="C311" s="34"/>
      <c r="D311" s="34"/>
      <c r="E311" s="34"/>
      <c r="F311" s="31"/>
      <c r="G311" s="31"/>
      <c r="J311" s="352"/>
      <c r="K311" s="347"/>
      <c r="L311" s="341" t="str">
        <f>Products!B1756</f>
        <v>ДСП трубчасте</v>
      </c>
      <c r="M311" s="361">
        <f>Products!E1756</f>
        <v>930</v>
      </c>
    </row>
    <row r="312" spans="1:13" s="31" customFormat="1" ht="12.75" customHeight="1">
      <c r="B312" s="591" t="str">
        <f>TITLE!$C$30</f>
        <v>Полотна скляні: ЛАЙН</v>
      </c>
      <c r="C312" s="592"/>
      <c r="D312" s="592"/>
      <c r="E312" s="592"/>
      <c r="F312" s="169"/>
      <c r="G312" s="169"/>
      <c r="H312" s="169"/>
      <c r="I312" s="169"/>
      <c r="J312" s="342"/>
      <c r="K312" s="342"/>
      <c r="L312" s="354"/>
      <c r="M312" s="355"/>
    </row>
    <row r="313" spans="1:13">
      <c r="A313" s="31"/>
      <c r="B313" s="589" t="str">
        <f>Products!B1809</f>
        <v>модель</v>
      </c>
      <c r="C313" s="155" t="str">
        <f>Products!C1809</f>
        <v>покриття:</v>
      </c>
      <c r="D313" s="127" t="str">
        <f>Products!D1809</f>
        <v>VERTO-CELL</v>
      </c>
      <c r="E313" s="166" t="str">
        <f>Products!F1809</f>
        <v>RESIST</v>
      </c>
      <c r="F313" s="166" t="str">
        <f>Products!H1809</f>
        <v>Verto LINE-3D</v>
      </c>
      <c r="G313" s="166" t="str">
        <f>Products!J1809</f>
        <v>ЕКО Шпон</v>
      </c>
      <c r="H313" s="215"/>
      <c r="I313" s="215"/>
      <c r="J313" s="215"/>
      <c r="K313" s="344"/>
      <c r="L313" s="341" t="str">
        <f>CONCATENATE(Products!B1822," ",Products!C1822)</f>
        <v xml:space="preserve">полотно розміром 100 </v>
      </c>
      <c r="M313" s="357">
        <f>Products!E1822</f>
        <v>680.00000000000011</v>
      </c>
    </row>
    <row r="314" spans="1:13">
      <c r="A314" s="31"/>
      <c r="B314" s="589"/>
      <c r="C314" s="156" t="str">
        <f>Products!C1810</f>
        <v>заповнення:</v>
      </c>
      <c r="D314" s="138" t="str">
        <f>Products!D1810</f>
        <v>сотове заповнення</v>
      </c>
      <c r="E314" s="167" t="str">
        <f>Products!F1810</f>
        <v>сотове заповнення</v>
      </c>
      <c r="F314" s="167" t="str">
        <f>Products!H1810</f>
        <v>сотове заповнення</v>
      </c>
      <c r="G314" s="167" t="str">
        <f>Products!J1810</f>
        <v>сотове заповнення</v>
      </c>
      <c r="H314" s="215"/>
      <c r="I314" s="215"/>
      <c r="J314" s="215"/>
      <c r="K314" s="344"/>
      <c r="L314" s="341" t="str">
        <f>CONCATENATE(Products!B1823," ",Products!C1823)</f>
        <v xml:space="preserve">скло Триплекс матовий / чорний </v>
      </c>
      <c r="M314" s="348">
        <f>Products!E1823</f>
        <v>1060</v>
      </c>
    </row>
    <row r="315" spans="1:13" ht="12.75" customHeight="1">
      <c r="A315" s="31"/>
      <c r="B315" s="590"/>
      <c r="C315" s="157" t="str">
        <f>Products!C1811</f>
        <v>скління:</v>
      </c>
      <c r="D315" s="136" t="str">
        <f>Products!D1811</f>
        <v>Малюнок / Сатин (1)</v>
      </c>
      <c r="E315" s="173" t="str">
        <f>Products!F1811</f>
        <v>Малюнок / Сатин (1)</v>
      </c>
      <c r="F315" s="173" t="str">
        <f>Products!H1811</f>
        <v>Малюнок / Сатин (1)</v>
      </c>
      <c r="G315" s="173" t="str">
        <f>Products!J1811</f>
        <v>Малюнок / Сатин (1)</v>
      </c>
      <c r="H315" s="215"/>
      <c r="I315" s="215"/>
      <c r="J315" s="215"/>
      <c r="K315" s="344"/>
      <c r="L315" s="341" t="str">
        <f>CONCATENATE(Products!B1824," ",Products!C1824)</f>
        <v xml:space="preserve">скло Графіт / Бронза </v>
      </c>
      <c r="M315" s="348">
        <f>Products!E1824</f>
        <v>780</v>
      </c>
    </row>
    <row r="316" spans="1:13">
      <c r="A316" s="31"/>
      <c r="B316" s="13">
        <f>Products!B1812</f>
        <v>1</v>
      </c>
      <c r="C316" s="162"/>
      <c r="D316" s="190">
        <f>Products!E1812</f>
        <v>7240.0000000000009</v>
      </c>
      <c r="E316" s="182">
        <f>Products!G1812</f>
        <v>7820</v>
      </c>
      <c r="F316" s="182">
        <f>Products!I1812</f>
        <v>8160</v>
      </c>
      <c r="G316" s="182">
        <f>Products!K1812</f>
        <v>8570</v>
      </c>
      <c r="H316" s="223"/>
      <c r="I316" s="223"/>
      <c r="J316" s="223"/>
      <c r="K316" s="344"/>
      <c r="L316" s="341" t="str">
        <f>CONCATENATE(Products!B1825," ",Products!C1825)</f>
        <v xml:space="preserve">замок Soft </v>
      </c>
      <c r="M316" s="348">
        <f>Products!E1825</f>
        <v>550</v>
      </c>
    </row>
    <row r="317" spans="1:13">
      <c r="A317" s="31"/>
      <c r="B317" s="16">
        <f>Products!B1813</f>
        <v>2</v>
      </c>
      <c r="C317" s="163"/>
      <c r="D317" s="191">
        <f>Products!E1813</f>
        <v>8040</v>
      </c>
      <c r="E317" s="184">
        <f>Products!G1813</f>
        <v>8590</v>
      </c>
      <c r="F317" s="184">
        <f>Products!I1813</f>
        <v>8970</v>
      </c>
      <c r="G317" s="184">
        <f>Products!K1813</f>
        <v>9400</v>
      </c>
      <c r="H317" s="227"/>
      <c r="I317" s="227"/>
      <c r="J317" s="227"/>
      <c r="K317" s="344"/>
      <c r="L317" s="341" t="str">
        <f>CONCATENATE(Products!B1826," ",Products!C1826)</f>
        <v xml:space="preserve">замок Soft чорн. </v>
      </c>
      <c r="M317" s="348">
        <f>Products!E1826</f>
        <v>680.00000000000011</v>
      </c>
    </row>
    <row r="318" spans="1:13">
      <c r="A318" s="31"/>
      <c r="B318" s="16">
        <f>Products!B1814</f>
        <v>3</v>
      </c>
      <c r="C318" s="163"/>
      <c r="D318" s="191">
        <f>Products!E1814</f>
        <v>8040</v>
      </c>
      <c r="E318" s="184">
        <f>Products!G1814</f>
        <v>8590</v>
      </c>
      <c r="F318" s="184">
        <f>Products!I1814</f>
        <v>8970</v>
      </c>
      <c r="G318" s="184">
        <f>Products!K1814</f>
        <v>9400</v>
      </c>
      <c r="H318" s="223"/>
      <c r="I318" s="223"/>
      <c r="J318" s="223"/>
      <c r="K318" s="344"/>
      <c r="L318" s="341" t="str">
        <f>CONCATENATE(Products!B1827," ",Products!C1827)</f>
        <v xml:space="preserve">замок Magnet </v>
      </c>
      <c r="M318" s="348">
        <f>Products!E1827</f>
        <v>800.00000000000011</v>
      </c>
    </row>
    <row r="319" spans="1:13">
      <c r="A319" s="31"/>
      <c r="B319" s="16">
        <f>Products!B1815</f>
        <v>4</v>
      </c>
      <c r="C319" s="163"/>
      <c r="D319" s="191">
        <f>Products!E1815</f>
        <v>8040</v>
      </c>
      <c r="E319" s="184">
        <f>Products!G1815</f>
        <v>8590</v>
      </c>
      <c r="F319" s="184">
        <f>Products!I1815</f>
        <v>8970</v>
      </c>
      <c r="G319" s="184">
        <f>Products!K1815</f>
        <v>9400</v>
      </c>
      <c r="H319" s="223"/>
      <c r="I319" s="223"/>
      <c r="J319" s="223"/>
      <c r="K319" s="344"/>
      <c r="L319" s="341" t="str">
        <f>CONCATENATE(Products!B1828," ",Products!C1828)</f>
        <v xml:space="preserve">замок Magnet чорн. </v>
      </c>
      <c r="M319" s="348">
        <f>Products!E1828</f>
        <v>1000</v>
      </c>
    </row>
    <row r="320" spans="1:13">
      <c r="A320" s="31"/>
      <c r="B320" s="16">
        <f>Products!B1816</f>
        <v>5</v>
      </c>
      <c r="C320" s="163"/>
      <c r="D320" s="191">
        <f>Products!E1816</f>
        <v>8040</v>
      </c>
      <c r="E320" s="184">
        <f>Products!G1816</f>
        <v>8590</v>
      </c>
      <c r="F320" s="184">
        <f>Products!I1816</f>
        <v>8970</v>
      </c>
      <c r="G320" s="184">
        <f>Products!K1816</f>
        <v>9400</v>
      </c>
      <c r="H320" s="223"/>
      <c r="I320" s="223"/>
      <c r="J320" s="223"/>
      <c r="K320" s="344"/>
      <c r="L320" s="341" t="str">
        <f>CONCATENATE(Products!B1829," ",Products!C1829)</f>
        <v xml:space="preserve">циліндр несиметричний </v>
      </c>
      <c r="M320" s="348">
        <f>Products!E1829</f>
        <v>380</v>
      </c>
    </row>
    <row r="321" spans="1:13">
      <c r="A321" s="31"/>
      <c r="B321" s="16">
        <f>Products!B1817</f>
        <v>6</v>
      </c>
      <c r="C321" s="163"/>
      <c r="D321" s="191">
        <f>Products!E1817</f>
        <v>8040</v>
      </c>
      <c r="E321" s="184">
        <f>Products!G1817</f>
        <v>8590</v>
      </c>
      <c r="F321" s="184">
        <f>Products!I1817</f>
        <v>8970</v>
      </c>
      <c r="G321" s="184">
        <f>Products!K1817</f>
        <v>9400</v>
      </c>
      <c r="H321" s="223"/>
      <c r="I321" s="223"/>
      <c r="J321" s="223"/>
      <c r="K321" s="344"/>
      <c r="L321" s="341" t="str">
        <f>CONCATENATE(Products!B1830," ",Products!C1830)</f>
        <v xml:space="preserve">завіса Prestige (1 шт) </v>
      </c>
      <c r="M321" s="348">
        <f>Products!E1830</f>
        <v>260</v>
      </c>
    </row>
    <row r="322" spans="1:13">
      <c r="A322" s="31"/>
      <c r="B322" s="23">
        <f>Products!B1818</f>
        <v>7</v>
      </c>
      <c r="C322" s="164"/>
      <c r="D322" s="192">
        <f>Products!E1818</f>
        <v>8040</v>
      </c>
      <c r="E322" s="186">
        <f>Products!G1818</f>
        <v>8590</v>
      </c>
      <c r="F322" s="186">
        <f>Products!I1818</f>
        <v>8970</v>
      </c>
      <c r="G322" s="186">
        <f>Products!K1818</f>
        <v>9400</v>
      </c>
      <c r="H322" s="223"/>
      <c r="I322" s="223"/>
      <c r="J322" s="223"/>
      <c r="K322" s="344"/>
      <c r="L322" s="341" t="str">
        <f>CONCATENATE(Products!B1831," ",Products!C1831)</f>
        <v xml:space="preserve">накладка на завіси (1 к-т) </v>
      </c>
      <c r="M322" s="348">
        <f>Products!E1831</f>
        <v>80</v>
      </c>
    </row>
    <row r="323" spans="1:13" ht="21">
      <c r="A323" s="31"/>
      <c r="B323" s="174"/>
      <c r="C323" s="175"/>
      <c r="D323" s="198"/>
      <c r="E323" s="198"/>
      <c r="F323" s="198"/>
      <c r="G323" s="31"/>
      <c r="H323" s="223"/>
      <c r="I323" s="223"/>
      <c r="J323" s="223"/>
      <c r="K323" s="344"/>
      <c r="L323" s="341" t="str">
        <f>CONCATENATE(Products!B1832," ",Products!C1832)</f>
        <v xml:space="preserve">дверна ручка </v>
      </c>
      <c r="M323" s="348" t="str">
        <f>Products!E1832</f>
        <v>див. Таблицю Ручки</v>
      </c>
    </row>
    <row r="324" spans="1:13">
      <c r="A324" s="31"/>
      <c r="B324" s="174"/>
      <c r="C324" s="175"/>
      <c r="D324" s="198"/>
      <c r="E324" s="198"/>
      <c r="F324" s="198"/>
      <c r="G324" s="31"/>
      <c r="H324" s="223"/>
      <c r="I324" s="223"/>
      <c r="J324" s="223"/>
      <c r="K324" s="344"/>
      <c r="L324" s="341" t="str">
        <f>CONCATENATE(Products!B1833," ",Products!C1833)</f>
        <v xml:space="preserve">ДСП трубчасте </v>
      </c>
      <c r="M324" s="348">
        <f>Products!E1833</f>
        <v>930</v>
      </c>
    </row>
    <row r="325" spans="1:13" s="31" customFormat="1" ht="12.75" customHeight="1">
      <c r="B325" s="591" t="str">
        <f>TITLE!$C$31</f>
        <v>Полотна скляні: ЕЛЕГАНТ</v>
      </c>
      <c r="C325" s="592"/>
      <c r="D325" s="592"/>
      <c r="E325" s="592"/>
      <c r="F325" s="169"/>
      <c r="G325" s="169"/>
      <c r="H325" s="169"/>
      <c r="I325" s="169"/>
      <c r="J325" s="342"/>
      <c r="K325" s="342"/>
      <c r="L325" s="354"/>
      <c r="M325" s="355"/>
    </row>
    <row r="326" spans="1:13" ht="12.75" customHeight="1">
      <c r="A326" s="31"/>
      <c r="B326" s="589" t="str">
        <f>Products!B1886</f>
        <v>модель</v>
      </c>
      <c r="C326" s="155" t="str">
        <f>Products!C1886</f>
        <v>покриття:</v>
      </c>
      <c r="D326" s="129" t="str">
        <f>Products!D1886</f>
        <v>VERTO-CELL</v>
      </c>
      <c r="E326" s="129" t="str">
        <f>Products!F1886</f>
        <v>RESIST</v>
      </c>
      <c r="F326" s="129" t="str">
        <f>Products!H1886</f>
        <v>Verto LINE-3D</v>
      </c>
      <c r="G326" s="129" t="str">
        <f>Products!J1886</f>
        <v>ЕКО Шпон</v>
      </c>
      <c r="H326" s="215"/>
      <c r="I326" s="215"/>
      <c r="J326" s="215"/>
      <c r="K326" s="356"/>
      <c r="L326" s="340" t="str">
        <f>CONCATENATE(Products!B1899," ",Products!C1899)</f>
        <v xml:space="preserve">скло Триплекс матовий / чорний </v>
      </c>
      <c r="M326" s="357">
        <f>Products!E1899</f>
        <v>1350</v>
      </c>
    </row>
    <row r="327" spans="1:13" ht="24.75" customHeight="1">
      <c r="A327" s="31"/>
      <c r="B327" s="589"/>
      <c r="C327" s="156" t="str">
        <f>Products!C1887</f>
        <v>заповнення:</v>
      </c>
      <c r="D327" s="139" t="str">
        <f>Products!D1887</f>
        <v>клеєний сосновий брус</v>
      </c>
      <c r="E327" s="139" t="str">
        <f>Products!F1887</f>
        <v>клеєний сосновий брус</v>
      </c>
      <c r="F327" s="139" t="str">
        <f>Products!H1887</f>
        <v>клеєний сосновий брус</v>
      </c>
      <c r="G327" s="139" t="str">
        <f>Products!J1887</f>
        <v>клеєний сосновий брус</v>
      </c>
      <c r="H327" s="215"/>
      <c r="I327" s="215"/>
      <c r="J327" s="215"/>
      <c r="K327" s="347"/>
      <c r="L327" s="341" t="str">
        <f>CONCATENATE(Products!B1900," ",Products!C1900)</f>
        <v xml:space="preserve">скло Графіт / Бронза </v>
      </c>
      <c r="M327" s="348">
        <f>Products!E1900</f>
        <v>920.00000000000011</v>
      </c>
    </row>
    <row r="328" spans="1:13" ht="12.75" customHeight="1">
      <c r="A328" s="31"/>
      <c r="B328" s="590"/>
      <c r="C328" s="157" t="str">
        <f>Products!C1888</f>
        <v>скління:</v>
      </c>
      <c r="D328" s="125" t="str">
        <f>Products!D1888</f>
        <v>Малюнок / Сатин (1)</v>
      </c>
      <c r="E328" s="125" t="str">
        <f>Products!F1888</f>
        <v>Малюнок / Сатин (1)</v>
      </c>
      <c r="F328" s="125" t="str">
        <f>Products!H1888</f>
        <v>Малюнок / Сатин (1)</v>
      </c>
      <c r="G328" s="125" t="str">
        <f>Products!J1888</f>
        <v>Малюнок / Сатин (1)</v>
      </c>
      <c r="H328" s="215"/>
      <c r="I328" s="215"/>
      <c r="J328" s="215"/>
      <c r="K328" s="347"/>
      <c r="L328" s="341" t="str">
        <f>CONCATENATE(Products!B1901," ",Products!C1901)</f>
        <v xml:space="preserve">замок Soft </v>
      </c>
      <c r="M328" s="348">
        <f>Products!E1901</f>
        <v>560</v>
      </c>
    </row>
    <row r="329" spans="1:13">
      <c r="A329" s="31"/>
      <c r="B329" s="13">
        <f>Products!B1889</f>
        <v>1</v>
      </c>
      <c r="C329" s="162"/>
      <c r="D329" s="183">
        <f>Products!E1889</f>
        <v>7800</v>
      </c>
      <c r="E329" s="183">
        <f>Products!G1889</f>
        <v>8720</v>
      </c>
      <c r="F329" s="183">
        <f>Products!I1889</f>
        <v>9150</v>
      </c>
      <c r="G329" s="183">
        <f>Products!K1889</f>
        <v>9590</v>
      </c>
      <c r="H329" s="223"/>
      <c r="I329" s="223"/>
      <c r="J329" s="223"/>
      <c r="K329" s="347"/>
      <c r="L329" s="341" t="str">
        <f>CONCATENATE(Products!B1902," ",Products!C1902)</f>
        <v xml:space="preserve">замок Soft чорн. </v>
      </c>
      <c r="M329" s="348">
        <f>Products!E1902</f>
        <v>680.00000000000011</v>
      </c>
    </row>
    <row r="330" spans="1:13">
      <c r="A330" s="31"/>
      <c r="B330" s="16">
        <f>Products!B1890</f>
        <v>2</v>
      </c>
      <c r="C330" s="163"/>
      <c r="D330" s="185">
        <f>Products!E1890</f>
        <v>8560</v>
      </c>
      <c r="E330" s="185">
        <f>Products!G1890</f>
        <v>9590</v>
      </c>
      <c r="F330" s="185">
        <f>Products!I1890</f>
        <v>10000</v>
      </c>
      <c r="G330" s="185">
        <f>Products!K1890</f>
        <v>10440</v>
      </c>
      <c r="H330" s="227"/>
      <c r="I330" s="227"/>
      <c r="J330" s="227"/>
      <c r="K330" s="347"/>
      <c r="L330" s="341" t="str">
        <f>CONCATENATE(Products!B1903," ",Products!C1903)</f>
        <v xml:space="preserve">замок Magnet </v>
      </c>
      <c r="M330" s="348">
        <f>Products!E1903</f>
        <v>800.00000000000011</v>
      </c>
    </row>
    <row r="331" spans="1:13">
      <c r="A331" s="31"/>
      <c r="B331" s="16">
        <f>Products!B1891</f>
        <v>3</v>
      </c>
      <c r="C331" s="163"/>
      <c r="D331" s="185">
        <f>Products!E1891</f>
        <v>8560</v>
      </c>
      <c r="E331" s="185">
        <f>Products!G1891</f>
        <v>9590</v>
      </c>
      <c r="F331" s="185">
        <f>Products!I1891</f>
        <v>10000</v>
      </c>
      <c r="G331" s="185">
        <f>Products!K1891</f>
        <v>10440</v>
      </c>
      <c r="H331" s="223"/>
      <c r="I331" s="223"/>
      <c r="J331" s="223"/>
      <c r="K331" s="347"/>
      <c r="L331" s="341" t="str">
        <f>CONCATENATE(Products!B1904," ",Products!C1904)</f>
        <v xml:space="preserve">замок Magnet чорн. </v>
      </c>
      <c r="M331" s="348">
        <f>Products!E1904</f>
        <v>1000</v>
      </c>
    </row>
    <row r="332" spans="1:13">
      <c r="A332" s="31"/>
      <c r="B332" s="16">
        <f>Products!B1892</f>
        <v>4</v>
      </c>
      <c r="C332" s="163"/>
      <c r="D332" s="185">
        <f>Products!E1892</f>
        <v>8560</v>
      </c>
      <c r="E332" s="185">
        <f>Products!G1892</f>
        <v>9590</v>
      </c>
      <c r="F332" s="185">
        <f>Products!I1892</f>
        <v>10000</v>
      </c>
      <c r="G332" s="185">
        <f>Products!K1892</f>
        <v>10440</v>
      </c>
      <c r="H332" s="223"/>
      <c r="I332" s="223"/>
      <c r="J332" s="223"/>
      <c r="K332" s="347"/>
      <c r="L332" s="341" t="str">
        <f>CONCATENATE(Products!B1905," ",Products!C1905)</f>
        <v xml:space="preserve">циліндр несиметричний </v>
      </c>
      <c r="M332" s="348">
        <f>Products!E1905</f>
        <v>390</v>
      </c>
    </row>
    <row r="333" spans="1:13">
      <c r="A333" s="31"/>
      <c r="B333" s="16">
        <f>Products!B1893</f>
        <v>5</v>
      </c>
      <c r="C333" s="163"/>
      <c r="D333" s="185">
        <f>Products!E1893</f>
        <v>8560</v>
      </c>
      <c r="E333" s="185">
        <f>Products!G1893</f>
        <v>9590</v>
      </c>
      <c r="F333" s="185">
        <f>Products!I1893</f>
        <v>10000</v>
      </c>
      <c r="G333" s="185">
        <f>Products!K1893</f>
        <v>10440</v>
      </c>
      <c r="H333" s="223"/>
      <c r="I333" s="223"/>
      <c r="J333" s="223"/>
      <c r="K333" s="347"/>
      <c r="L333" s="341" t="str">
        <f>CONCATENATE(Products!B1906," ",Products!C1906)</f>
        <v xml:space="preserve">завіса Prestige (1 шт) </v>
      </c>
      <c r="M333" s="348">
        <f>Products!E1906</f>
        <v>260</v>
      </c>
    </row>
    <row r="334" spans="1:13">
      <c r="A334" s="31"/>
      <c r="B334" s="16">
        <f>Products!B1894</f>
        <v>6</v>
      </c>
      <c r="C334" s="163"/>
      <c r="D334" s="185">
        <f>Products!E1894</f>
        <v>8560</v>
      </c>
      <c r="E334" s="185">
        <f>Products!G1894</f>
        <v>9590</v>
      </c>
      <c r="F334" s="185">
        <f>Products!I1894</f>
        <v>10000</v>
      </c>
      <c r="G334" s="185">
        <f>Products!K1894</f>
        <v>10440</v>
      </c>
      <c r="H334" s="223"/>
      <c r="I334" s="223"/>
      <c r="J334" s="223"/>
      <c r="K334" s="347"/>
      <c r="L334" s="341" t="str">
        <f>CONCATENATE(Products!B1907," ",Products!C1907)</f>
        <v xml:space="preserve">накладка на завіси (1 к-т) </v>
      </c>
      <c r="M334" s="348">
        <f>Products!E1907</f>
        <v>80</v>
      </c>
    </row>
    <row r="335" spans="1:13" ht="21">
      <c r="A335" s="31"/>
      <c r="B335" s="23">
        <f>Products!B1895</f>
        <v>7</v>
      </c>
      <c r="C335" s="164"/>
      <c r="D335" s="187">
        <f>Products!E1895</f>
        <v>8560</v>
      </c>
      <c r="E335" s="187">
        <f>Products!G1895</f>
        <v>9590</v>
      </c>
      <c r="F335" s="187">
        <f>Products!I1895</f>
        <v>10000</v>
      </c>
      <c r="G335" s="187">
        <f>Products!K1895</f>
        <v>10440</v>
      </c>
      <c r="H335" s="223"/>
      <c r="I335" s="223"/>
      <c r="J335" s="223"/>
      <c r="K335" s="347"/>
      <c r="L335" s="341" t="str">
        <f>CONCATENATE(Products!B1908," ",Products!C1908)</f>
        <v xml:space="preserve">дверна ручка </v>
      </c>
      <c r="M335" s="348" t="str">
        <f>Products!E1908</f>
        <v>див. Таблицю Ручки</v>
      </c>
    </row>
    <row r="336" spans="1:13">
      <c r="C336" s="34"/>
      <c r="D336" s="34"/>
      <c r="E336" s="10"/>
      <c r="F336" s="31"/>
      <c r="G336" s="31"/>
      <c r="J336" s="352"/>
    </row>
    <row r="337" spans="1:13" s="31" customFormat="1" ht="12.75" customHeight="1">
      <c r="B337" s="591" t="str">
        <f>TITLE!$C$32</f>
        <v>Полотна скляні: ГЛАСФОРД</v>
      </c>
      <c r="C337" s="592"/>
      <c r="D337" s="592"/>
      <c r="E337" s="592"/>
      <c r="F337" s="169"/>
      <c r="G337" s="169"/>
      <c r="H337" s="169"/>
      <c r="I337" s="169"/>
      <c r="J337" s="342"/>
      <c r="K337" s="342"/>
      <c r="L337" s="354"/>
      <c r="M337" s="355"/>
    </row>
    <row r="338" spans="1:13">
      <c r="A338" s="31"/>
      <c r="B338" s="589" t="str">
        <f>Products!B1961</f>
        <v>модель</v>
      </c>
      <c r="C338" s="155" t="str">
        <f>Products!C1961</f>
        <v>покриття:</v>
      </c>
      <c r="D338" s="129" t="str">
        <f>Products!D1961</f>
        <v>СКЛО</v>
      </c>
      <c r="E338" s="10"/>
      <c r="F338" s="31"/>
      <c r="G338" s="31"/>
      <c r="H338" s="215"/>
      <c r="I338" s="215"/>
      <c r="J338" s="215"/>
      <c r="K338" s="344"/>
      <c r="L338" s="340" t="str">
        <f>CONCATENATE(Products!B1972," ",Products!C1972)</f>
        <v xml:space="preserve">полотно розміром 100 </v>
      </c>
      <c r="M338" s="357">
        <f>Products!E1972</f>
        <v>3300</v>
      </c>
    </row>
    <row r="339" spans="1:13">
      <c r="A339" s="31"/>
      <c r="B339" s="589"/>
      <c r="C339" s="156" t="str">
        <f>Products!C1962</f>
        <v>заповнення:</v>
      </c>
      <c r="D339" s="139" t="str">
        <f>Products!D1962</f>
        <v>гартоване скло</v>
      </c>
      <c r="E339" s="10"/>
      <c r="F339" s="31"/>
      <c r="G339" s="31"/>
      <c r="H339" s="215"/>
      <c r="I339" s="215"/>
      <c r="J339" s="215"/>
      <c r="K339" s="347"/>
      <c r="L339" s="341" t="str">
        <f>CONCATENATE(Products!B1973," ",Products!C1973)</f>
        <v xml:space="preserve">скло Триплекс матовий / чорний </v>
      </c>
      <c r="M339" s="348">
        <f>Products!E1973</f>
        <v>2070</v>
      </c>
    </row>
    <row r="340" spans="1:13" ht="12.75" customHeight="1">
      <c r="A340" s="31"/>
      <c r="B340" s="590"/>
      <c r="C340" s="157" t="str">
        <f>Products!C1963</f>
        <v>скління:</v>
      </c>
      <c r="D340" s="125" t="str">
        <f>Products!D1963</f>
        <v>Малюнок / Сатин (1)</v>
      </c>
      <c r="E340" s="10"/>
      <c r="F340" s="31"/>
      <c r="G340" s="31"/>
      <c r="H340" s="215"/>
      <c r="I340" s="215"/>
      <c r="J340" s="215"/>
      <c r="K340" s="347"/>
      <c r="L340" s="341" t="str">
        <f>CONCATENATE(Products!B1974," ",Products!C1974)</f>
        <v xml:space="preserve">скло Графіт / Бронза </v>
      </c>
      <c r="M340" s="348">
        <f>Products!E1974</f>
        <v>1650</v>
      </c>
    </row>
    <row r="341" spans="1:13">
      <c r="A341" s="31"/>
      <c r="B341" s="13">
        <f>Products!B1964</f>
        <v>1</v>
      </c>
      <c r="C341" s="162"/>
      <c r="D341" s="183">
        <f>Products!E1964</f>
        <v>16500</v>
      </c>
      <c r="E341" s="10"/>
      <c r="F341" s="229"/>
      <c r="G341" s="226"/>
      <c r="H341" s="223"/>
      <c r="I341" s="223"/>
      <c r="J341" s="223"/>
      <c r="K341" s="347"/>
      <c r="L341" s="341" t="str">
        <f>CONCATENATE(Products!B1975," ",Products!C1975)</f>
        <v xml:space="preserve">скло Дзеркало </v>
      </c>
      <c r="M341" s="348">
        <f>Products!E1975</f>
        <v>5400</v>
      </c>
    </row>
    <row r="342" spans="1:13">
      <c r="A342" s="31"/>
      <c r="B342" s="16">
        <f>Products!B1965</f>
        <v>2</v>
      </c>
      <c r="C342" s="163"/>
      <c r="D342" s="185">
        <f>Products!E1965</f>
        <v>17250</v>
      </c>
      <c r="E342" s="10"/>
      <c r="F342" s="229"/>
      <c r="G342" s="226"/>
      <c r="H342" s="227"/>
      <c r="I342" s="227"/>
      <c r="J342" s="227"/>
      <c r="K342" s="347"/>
      <c r="L342" s="341" t="str">
        <f>CONCATENATE(Products!B1976," ",Products!C1976)</f>
        <v xml:space="preserve">замок Glass під ключ / циліндр </v>
      </c>
      <c r="M342" s="348">
        <f>Products!E1976</f>
        <v>1240.0000000000002</v>
      </c>
    </row>
    <row r="343" spans="1:13">
      <c r="A343" s="31"/>
      <c r="B343" s="16">
        <f>Products!B1966</f>
        <v>3</v>
      </c>
      <c r="C343" s="163"/>
      <c r="D343" s="185">
        <f>Products!E1966</f>
        <v>17250</v>
      </c>
      <c r="E343" s="10"/>
      <c r="F343" s="229"/>
      <c r="G343" s="31"/>
      <c r="H343" s="223"/>
      <c r="I343" s="223"/>
      <c r="J343" s="223"/>
      <c r="K343" s="347"/>
      <c r="L343" s="341" t="str">
        <f>CONCATENATE(Products!B1977," ",Products!C1977)</f>
        <v xml:space="preserve">замок Glass сантехнічний </v>
      </c>
      <c r="M343" s="353">
        <f>Products!E1977</f>
        <v>2940</v>
      </c>
    </row>
    <row r="344" spans="1:13">
      <c r="A344" s="31"/>
      <c r="B344" s="16">
        <f>Products!B1967</f>
        <v>4</v>
      </c>
      <c r="C344" s="163"/>
      <c r="D344" s="185">
        <f>Products!E1967</f>
        <v>17250</v>
      </c>
      <c r="E344" s="10"/>
      <c r="F344" s="229"/>
      <c r="G344" s="31"/>
      <c r="H344" s="223"/>
      <c r="I344" s="223"/>
      <c r="J344" s="223"/>
      <c r="K344" s="215"/>
      <c r="L344" s="362"/>
      <c r="M344" s="363"/>
    </row>
    <row r="345" spans="1:13">
      <c r="A345" s="31"/>
      <c r="B345" s="23">
        <f>Products!B1968</f>
        <v>5</v>
      </c>
      <c r="C345" s="164"/>
      <c r="D345" s="187">
        <f>Products!E1968</f>
        <v>17250</v>
      </c>
      <c r="E345" s="10"/>
      <c r="F345" s="229"/>
      <c r="G345" s="31"/>
      <c r="H345" s="223"/>
      <c r="I345" s="223"/>
      <c r="J345" s="223"/>
      <c r="K345" s="215"/>
      <c r="L345" s="362"/>
      <c r="M345" s="363"/>
    </row>
    <row r="346" spans="1:13">
      <c r="C346" s="34"/>
      <c r="D346" s="34"/>
      <c r="E346" s="10"/>
      <c r="F346" s="31"/>
      <c r="G346" s="31"/>
      <c r="J346" s="352"/>
      <c r="K346" s="352"/>
      <c r="L346" s="352"/>
      <c r="M346" s="352"/>
    </row>
    <row r="347" spans="1:13">
      <c r="B347" s="595" t="str">
        <f>Products!B2027</f>
        <v>Полотна: ДОБОР LADA</v>
      </c>
      <c r="C347" s="592"/>
      <c r="D347" s="592"/>
      <c r="E347" s="592"/>
      <c r="F347" s="169"/>
      <c r="G347" s="169"/>
      <c r="H347" s="169"/>
      <c r="I347" s="169"/>
      <c r="J347" s="342"/>
      <c r="K347" s="342"/>
      <c r="L347" s="354"/>
      <c r="M347" s="355"/>
    </row>
    <row r="348" spans="1:13">
      <c r="B348" s="594" t="str">
        <f>Products!B2029</f>
        <v>модель</v>
      </c>
      <c r="C348" s="155" t="str">
        <f>Products!C2029</f>
        <v>покриття:</v>
      </c>
      <c r="D348" s="127" t="str">
        <f>Products!D2029</f>
        <v>Verto-CELL</v>
      </c>
      <c r="E348" s="166" t="str">
        <f>Products!F2029</f>
        <v>UNI-MAT</v>
      </c>
      <c r="F348" s="166" t="str">
        <f>Products!H2029</f>
        <v>RESIST</v>
      </c>
      <c r="G348" s="129" t="str">
        <f>Products!J2029</f>
        <v>Verto LINE-3D</v>
      </c>
      <c r="H348" s="129" t="str">
        <f>Products!L2029</f>
        <v>ЕКО Шпон</v>
      </c>
      <c r="I348" s="215"/>
      <c r="J348" s="215"/>
      <c r="K348" s="356"/>
      <c r="L348" s="340" t="str">
        <f>Products!B2040</f>
        <v>скло Графіт / Бронза</v>
      </c>
      <c r="M348" s="357">
        <f>Products!E2040</f>
        <v>510</v>
      </c>
    </row>
    <row r="349" spans="1:13" ht="24" customHeight="1">
      <c r="B349" s="589"/>
      <c r="C349" s="156" t="str">
        <f>Products!C2030</f>
        <v>заповнення:</v>
      </c>
      <c r="D349" s="137" t="str">
        <f>Products!D2030</f>
        <v>клеєний сосновий брус</v>
      </c>
      <c r="E349" s="167" t="str">
        <f>Products!F2030</f>
        <v>клеєний сосновий брус</v>
      </c>
      <c r="F349" s="167" t="str">
        <f>Products!H2030</f>
        <v>клеєний сосновий брус</v>
      </c>
      <c r="G349" s="139" t="str">
        <f>Products!J2030</f>
        <v>клеєний сосновий брус</v>
      </c>
      <c r="H349" s="139" t="str">
        <f>Products!L2030</f>
        <v>клеєний сосновий брус</v>
      </c>
      <c r="I349" s="215"/>
      <c r="J349" s="215"/>
      <c r="K349" s="347"/>
      <c r="L349" s="341" t="str">
        <f>Products!B2041</f>
        <v>скло Lacobel чорне</v>
      </c>
      <c r="M349" s="348">
        <f>Products!E2041</f>
        <v>550</v>
      </c>
    </row>
    <row r="350" spans="1:13">
      <c r="B350" s="590"/>
      <c r="C350" s="157" t="str">
        <f>Products!C2031</f>
        <v>скління:</v>
      </c>
      <c r="D350" s="124" t="str">
        <f>Products!D2031</f>
        <v>Сатин</v>
      </c>
      <c r="E350" s="160" t="str">
        <f>Products!F2031</f>
        <v>Сатин</v>
      </c>
      <c r="F350" s="160" t="str">
        <f>Products!H2031</f>
        <v>Сатин</v>
      </c>
      <c r="G350" s="125" t="str">
        <f>Products!J2031</f>
        <v>Сатин</v>
      </c>
      <c r="H350" s="125" t="str">
        <f>Products!L2031</f>
        <v>Сатин</v>
      </c>
      <c r="I350" s="215"/>
      <c r="J350" s="215"/>
      <c r="K350" s="347"/>
      <c r="L350" s="341" t="str">
        <f>Products!B2042</f>
        <v>завіса Prestige (1 шт)</v>
      </c>
      <c r="M350" s="348">
        <f>Products!E2042</f>
        <v>260</v>
      </c>
    </row>
    <row r="351" spans="1:13">
      <c r="B351" s="13" t="str">
        <f>Products!B2032</f>
        <v>L1.0 - 1.1</v>
      </c>
      <c r="C351" s="162"/>
      <c r="D351" s="190">
        <f>Products!E2032</f>
        <v>5920.0000000000009</v>
      </c>
      <c r="E351" s="182">
        <f>Products!G2032</f>
        <v>6790.0000000000009</v>
      </c>
      <c r="F351" s="182">
        <f>Products!I2032</f>
        <v>7010</v>
      </c>
      <c r="G351" s="182">
        <f>Products!K2032</f>
        <v>7440</v>
      </c>
      <c r="H351" s="182">
        <f>Products!M2032</f>
        <v>7720</v>
      </c>
      <c r="J351" s="352"/>
      <c r="K351" s="347"/>
      <c r="L351" s="341" t="str">
        <f>Products!B2043</f>
        <v>накладка на завіси (1 к-т)</v>
      </c>
      <c r="M351" s="348">
        <f>Products!E2043</f>
        <v>80</v>
      </c>
    </row>
    <row r="352" spans="1:13">
      <c r="B352" s="113" t="str">
        <f>Products!B2033</f>
        <v>L3.0 - 3.2</v>
      </c>
      <c r="C352" s="172"/>
      <c r="D352" s="290">
        <f>Products!E2033</f>
        <v>6040.0000000000009</v>
      </c>
      <c r="E352" s="291">
        <f>Products!G2033</f>
        <v>6920</v>
      </c>
      <c r="F352" s="291">
        <f>Products!I2033</f>
        <v>7160</v>
      </c>
      <c r="G352" s="291">
        <f>Products!K2033</f>
        <v>7590</v>
      </c>
      <c r="H352" s="291">
        <f>Products!M2033</f>
        <v>8350</v>
      </c>
      <c r="J352" s="352"/>
    </row>
    <row r="353" spans="1:13">
      <c r="B353" s="113" t="str">
        <f>Products!B2034</f>
        <v>L4.0 - 4.1</v>
      </c>
      <c r="C353" s="172"/>
      <c r="D353" s="290">
        <f>Products!E2034</f>
        <v>5920.0000000000009</v>
      </c>
      <c r="E353" s="291">
        <f>Products!G2034</f>
        <v>6780</v>
      </c>
      <c r="F353" s="291">
        <f>Products!I2034</f>
        <v>7010</v>
      </c>
      <c r="G353" s="291">
        <f>Products!K2034</f>
        <v>7440</v>
      </c>
      <c r="H353" s="291">
        <f>Products!M2034</f>
        <v>7720</v>
      </c>
      <c r="J353" s="352"/>
      <c r="K353" s="215"/>
      <c r="L353" s="362"/>
      <c r="M353" s="363"/>
    </row>
    <row r="354" spans="1:13">
      <c r="B354" s="113" t="str">
        <f>Products!B2035</f>
        <v>L5.0 - 5.1</v>
      </c>
      <c r="C354" s="172"/>
      <c r="D354" s="290">
        <f>Products!E2035</f>
        <v>6130.0000000000009</v>
      </c>
      <c r="E354" s="291">
        <f>Products!G2035</f>
        <v>7050</v>
      </c>
      <c r="F354" s="291">
        <f>Products!I2035</f>
        <v>7240.0000000000009</v>
      </c>
      <c r="G354" s="291">
        <f>Products!K2035</f>
        <v>7660</v>
      </c>
      <c r="H354" s="291">
        <f>Products!M2035</f>
        <v>7910</v>
      </c>
      <c r="J354" s="352"/>
      <c r="K354" s="215"/>
      <c r="L354" s="362"/>
      <c r="M354" s="363"/>
    </row>
    <row r="355" spans="1:13">
      <c r="B355" s="23" t="str">
        <f>Products!B2036</f>
        <v>L6.0 - 6.1</v>
      </c>
      <c r="C355" s="164"/>
      <c r="D355" s="186">
        <f>Products!E2036</f>
        <v>6350</v>
      </c>
      <c r="E355" s="186">
        <f>Products!G2036</f>
        <v>7280</v>
      </c>
      <c r="F355" s="186">
        <f>Products!I2036</f>
        <v>7460</v>
      </c>
      <c r="G355" s="186">
        <f>Products!K2036</f>
        <v>7910</v>
      </c>
      <c r="H355" s="186">
        <f>Products!M2036</f>
        <v>8150</v>
      </c>
      <c r="J355" s="352"/>
      <c r="K355" s="215"/>
      <c r="L355" s="362"/>
      <c r="M355" s="363"/>
    </row>
    <row r="356" spans="1:13">
      <c r="C356" s="34"/>
      <c r="D356" s="34"/>
      <c r="E356" s="10"/>
      <c r="F356" s="31"/>
      <c r="G356" s="31"/>
      <c r="J356" s="352"/>
      <c r="K356" s="352"/>
      <c r="L356" s="352"/>
      <c r="M356" s="352"/>
    </row>
    <row r="357" spans="1:13" s="31" customFormat="1">
      <c r="B357" s="610" t="str">
        <f>Products!B2094</f>
        <v>Полотна: ДОБОРИ</v>
      </c>
      <c r="C357" s="611"/>
      <c r="D357" s="611"/>
      <c r="E357" s="611"/>
      <c r="F357" s="169"/>
      <c r="G357" s="169"/>
      <c r="H357" s="169"/>
      <c r="I357" s="169"/>
      <c r="J357" s="342"/>
      <c r="K357" s="342"/>
      <c r="L357" s="608"/>
      <c r="M357" s="609"/>
    </row>
    <row r="358" spans="1:13">
      <c r="A358" s="31"/>
      <c r="B358" s="589" t="str">
        <f>Products!B2096</f>
        <v>модель</v>
      </c>
      <c r="C358" s="165" t="str">
        <f>Products!C2096</f>
        <v>покриття:</v>
      </c>
      <c r="D358" s="161" t="str">
        <f>Products!D2096</f>
        <v>SIMPL / V-CELL</v>
      </c>
      <c r="E358" s="166" t="str">
        <f>Products!F2096</f>
        <v>UNI-MAT</v>
      </c>
      <c r="F358" s="166" t="str">
        <f>Products!H2096</f>
        <v>RESIST</v>
      </c>
      <c r="G358" s="46"/>
      <c r="H358" s="215"/>
      <c r="I358" s="215"/>
      <c r="J358" s="215"/>
      <c r="K358" s="344"/>
      <c r="L358" s="341" t="str">
        <f>CONCATENATE(Products!B2104," ",Products!C2104)</f>
        <v xml:space="preserve">третя завіса </v>
      </c>
      <c r="M358" s="357">
        <f>Products!E2104</f>
        <v>80</v>
      </c>
    </row>
    <row r="359" spans="1:13">
      <c r="A359" s="31"/>
      <c r="B359" s="589"/>
      <c r="C359" s="156" t="str">
        <f>Products!C2097</f>
        <v>заповнення:</v>
      </c>
      <c r="D359" s="138" t="str">
        <f>Products!D2097</f>
        <v>сотове заповнення</v>
      </c>
      <c r="E359" s="167" t="str">
        <f>Products!F2097</f>
        <v>сотове заповнення</v>
      </c>
      <c r="F359" s="167" t="str">
        <f>Products!H2097</f>
        <v>сотове заповнення</v>
      </c>
      <c r="G359" s="145"/>
      <c r="H359" s="215"/>
      <c r="I359" s="215"/>
      <c r="J359" s="215"/>
      <c r="K359" s="344"/>
      <c r="L359" s="341" t="str">
        <f>CONCATENATE(Products!B2105," ",Products!C2105)</f>
        <v>скло Триплекс матовий / чорний мод.Б</v>
      </c>
      <c r="M359" s="348">
        <f>Products!E2105</f>
        <v>1130</v>
      </c>
    </row>
    <row r="360" spans="1:13" ht="12.75" customHeight="1">
      <c r="A360" s="31"/>
      <c r="B360" s="590"/>
      <c r="C360" s="157" t="str">
        <f>Products!C2098</f>
        <v>скління:</v>
      </c>
      <c r="D360" s="136" t="str">
        <f>Products!D2098</f>
        <v>Сатин (Б)</v>
      </c>
      <c r="E360" s="173" t="str">
        <f>Products!F2098</f>
        <v>Сатин (Б)</v>
      </c>
      <c r="F360" s="173" t="str">
        <f>Products!H2098</f>
        <v>Сатин (Б)</v>
      </c>
      <c r="G360" s="159"/>
      <c r="H360" s="215"/>
      <c r="I360" s="215"/>
      <c r="J360" s="215"/>
      <c r="K360" s="344"/>
      <c r="L360" s="341" t="str">
        <f>CONCATENATE(Products!B2106," ",Products!C2106)</f>
        <v>скло Графіт / Бронза мод.Б</v>
      </c>
      <c r="M360" s="348">
        <f>Products!E2106</f>
        <v>740.00000000000011</v>
      </c>
    </row>
    <row r="361" spans="1:13">
      <c r="A361" s="31"/>
      <c r="B361" s="13" t="str">
        <f>Products!B2099</f>
        <v>А</v>
      </c>
      <c r="C361" s="162"/>
      <c r="D361" s="195">
        <f>Products!E2099</f>
        <v>2310</v>
      </c>
      <c r="E361" s="182">
        <f>Products!G2099</f>
        <v>2660.0000000000005</v>
      </c>
      <c r="F361" s="182">
        <f>Products!I2099</f>
        <v>2950</v>
      </c>
      <c r="G361" s="96"/>
      <c r="H361" s="223"/>
      <c r="I361" s="223"/>
      <c r="J361" s="223"/>
      <c r="K361" s="344"/>
      <c r="L361" s="341" t="str">
        <f>CONCATENATE(Products!B2107," ",Products!C2107)</f>
        <v xml:space="preserve">завіса Prestige (1 шт) </v>
      </c>
      <c r="M361" s="348">
        <f>Products!E2107</f>
        <v>260</v>
      </c>
    </row>
    <row r="362" spans="1:13">
      <c r="A362" s="31"/>
      <c r="B362" s="23" t="str">
        <f>Products!B2100</f>
        <v>Б</v>
      </c>
      <c r="C362" s="164"/>
      <c r="D362" s="192">
        <f>Products!E2100</f>
        <v>4630</v>
      </c>
      <c r="E362" s="186">
        <f>Products!G2100</f>
        <v>5150</v>
      </c>
      <c r="F362" s="186">
        <f>Products!I2100</f>
        <v>5320.0000000000009</v>
      </c>
      <c r="G362" s="96"/>
      <c r="H362" s="223"/>
      <c r="I362" s="223"/>
      <c r="J362" s="223"/>
      <c r="K362" s="344"/>
      <c r="L362" s="341" t="str">
        <f>CONCATENATE(Products!B2108," ",Products!C2108)</f>
        <v xml:space="preserve">накладка на завіси (1 к-т) </v>
      </c>
      <c r="M362" s="348">
        <f>Products!E2108</f>
        <v>80</v>
      </c>
    </row>
    <row r="363" spans="1:13">
      <c r="A363" s="31"/>
      <c r="B363" s="174"/>
      <c r="C363" s="175"/>
      <c r="D363" s="96"/>
      <c r="E363" s="96"/>
      <c r="F363" s="96"/>
      <c r="G363" s="96"/>
      <c r="H363" s="223"/>
      <c r="I363" s="223"/>
      <c r="J363" s="223"/>
      <c r="K363" s="344"/>
      <c r="L363" s="341" t="str">
        <f>CONCATENATE(Products!B2109," ",Products!C2109)</f>
        <v>ДСП трубчасте мод.A</v>
      </c>
      <c r="M363" s="348">
        <f>Products!E2109</f>
        <v>930</v>
      </c>
    </row>
    <row r="364" spans="1:13">
      <c r="C364" s="34"/>
      <c r="D364" s="34"/>
      <c r="E364" s="10"/>
      <c r="F364" s="31"/>
      <c r="G364" s="31"/>
      <c r="J364" s="352"/>
    </row>
    <row r="365" spans="1:13" s="31" customFormat="1" ht="12.75" customHeight="1">
      <c r="B365" s="595" t="str">
        <f>TITLE!$C$37</f>
        <v>Розсувна система Verto-SLIDE</v>
      </c>
      <c r="C365" s="596"/>
      <c r="D365" s="596"/>
      <c r="E365" s="596"/>
      <c r="F365" s="169"/>
      <c r="G365" s="169"/>
      <c r="H365" s="169"/>
      <c r="I365" s="169"/>
      <c r="J365" s="342"/>
      <c r="K365" s="354"/>
      <c r="L365" s="354"/>
      <c r="M365" s="355"/>
    </row>
    <row r="366" spans="1:13" ht="24.75" customHeight="1">
      <c r="A366" s="31"/>
      <c r="B366" s="597" t="str">
        <f>Products!B2162</f>
        <v>(без полотна)</v>
      </c>
      <c r="C366" s="155" t="str">
        <f>Products!C2162</f>
        <v>покриття:</v>
      </c>
      <c r="D366" s="128" t="str">
        <f>Products!D2162</f>
        <v>SIMPL / V-CELL</v>
      </c>
      <c r="E366" s="166" t="str">
        <f>Products!F2162</f>
        <v>UNI-MAT</v>
      </c>
      <c r="F366" s="166" t="str">
        <f>Products!H2162</f>
        <v>RESIST</v>
      </c>
      <c r="G366" s="166" t="str">
        <f>Products!J2162</f>
        <v>Verto LINE-3D</v>
      </c>
      <c r="H366" s="166" t="str">
        <f>Products!L2162</f>
        <v>ЕКО Шпон / ЛОФТ</v>
      </c>
      <c r="I366" s="47"/>
      <c r="J366" s="47"/>
      <c r="K366" s="344"/>
      <c r="L366" s="341" t="str">
        <f>Products!B2168</f>
        <v>відповідна планка замка</v>
      </c>
      <c r="M366" s="364">
        <f>Products!E2168</f>
        <v>110</v>
      </c>
    </row>
    <row r="367" spans="1:13" ht="12.75" customHeight="1">
      <c r="A367" s="31"/>
      <c r="B367" s="598"/>
      <c r="C367" s="157" t="str">
        <f>Products!C2163</f>
        <v>виконання:</v>
      </c>
      <c r="D367" s="136" t="str">
        <f>Products!D2163</f>
        <v>одностулкове</v>
      </c>
      <c r="E367" s="160" t="str">
        <f>Products!F2163</f>
        <v>одностулкове</v>
      </c>
      <c r="F367" s="160" t="str">
        <f>Products!H2163</f>
        <v>одностулкове</v>
      </c>
      <c r="G367" s="160" t="str">
        <f>Products!J2163</f>
        <v>одностулкове</v>
      </c>
      <c r="H367" s="160" t="str">
        <f>Products!L2163</f>
        <v>одностулкове</v>
      </c>
      <c r="I367" s="47"/>
      <c r="J367" s="47"/>
      <c r="K367" s="46"/>
      <c r="L367" s="352"/>
      <c r="M367" s="352"/>
    </row>
    <row r="368" spans="1:13">
      <c r="A368" s="31"/>
      <c r="B368" s="49" t="str">
        <f>Products!B2164</f>
        <v>Розсувна система</v>
      </c>
      <c r="C368" s="50"/>
      <c r="D368" s="196">
        <f>Products!E2164</f>
        <v>3780</v>
      </c>
      <c r="E368" s="194">
        <f>Products!G2164</f>
        <v>3920</v>
      </c>
      <c r="F368" s="194">
        <f>Products!I2164</f>
        <v>4030</v>
      </c>
      <c r="G368" s="194">
        <f>Products!K2164</f>
        <v>4370</v>
      </c>
      <c r="H368" s="194">
        <f>Products!M2164</f>
        <v>4620</v>
      </c>
      <c r="I368" s="29"/>
      <c r="J368" s="29"/>
      <c r="K368" s="46"/>
      <c r="L368" s="352"/>
      <c r="M368" s="352"/>
    </row>
    <row r="369" spans="1:13">
      <c r="C369" s="34"/>
      <c r="D369" s="34"/>
      <c r="E369" s="34"/>
      <c r="J369" s="352"/>
      <c r="K369" s="352"/>
      <c r="L369" s="352"/>
      <c r="M369" s="352"/>
    </row>
    <row r="370" spans="1:13" s="31" customFormat="1" ht="12.75" customHeight="1">
      <c r="B370" s="595" t="str">
        <f>TITLE!$C$40</f>
        <v>Дверна коробка STANDARD</v>
      </c>
      <c r="C370" s="596"/>
      <c r="D370" s="596"/>
      <c r="E370" s="596"/>
      <c r="F370" s="294" t="str">
        <f>Products!E2219</f>
        <v>Для Дверних Полотен з Фальцем</v>
      </c>
      <c r="G370" s="169"/>
      <c r="H370" s="169"/>
      <c r="I370" s="169"/>
      <c r="J370" s="342"/>
      <c r="K370" s="342"/>
      <c r="L370" s="354"/>
      <c r="M370" s="355"/>
    </row>
    <row r="371" spans="1:13" ht="26.25" customHeight="1">
      <c r="A371" s="31"/>
      <c r="B371" s="589" t="str">
        <f>Products!B2221</f>
        <v>модель</v>
      </c>
      <c r="C371" s="155" t="str">
        <f>Products!C2221</f>
        <v>покриття:</v>
      </c>
      <c r="D371" s="553" t="str">
        <f>Products!D2221</f>
        <v>SIMPLEX / VERTO-CELL</v>
      </c>
      <c r="E371" s="539"/>
      <c r="F371" s="553" t="str">
        <f>Products!H2221</f>
        <v>UNI-MAT</v>
      </c>
      <c r="G371" s="539"/>
      <c r="H371" s="553" t="str">
        <f>Products!L2221</f>
        <v>RESIST</v>
      </c>
      <c r="I371" s="539"/>
      <c r="J371" s="553" t="str">
        <f>Products!P2221</f>
        <v>Verto LINE-3D</v>
      </c>
      <c r="K371" s="539"/>
      <c r="L371" s="553" t="str">
        <f>Products!T2221</f>
        <v>ЕКО Шпон / LOFT</v>
      </c>
      <c r="M371" s="539"/>
    </row>
    <row r="372" spans="1:13" ht="12.75" customHeight="1">
      <c r="A372" s="31"/>
      <c r="B372" s="589"/>
      <c r="C372" s="157" t="str">
        <f>Products!C2222</f>
        <v>виконання:</v>
      </c>
      <c r="D372" s="254" t="str">
        <f>Products!D2222</f>
        <v>одностулкове</v>
      </c>
      <c r="E372" s="262" t="str">
        <f>Products!F2222</f>
        <v>двостулкові</v>
      </c>
      <c r="F372" s="254" t="str">
        <f>Products!H2222</f>
        <v>одностулкове</v>
      </c>
      <c r="G372" s="262" t="str">
        <f>Products!J2222</f>
        <v>двостулкові</v>
      </c>
      <c r="H372" s="254" t="str">
        <f>Products!L2222</f>
        <v>одностулкове</v>
      </c>
      <c r="I372" s="262" t="str">
        <f>Products!N2222</f>
        <v>двостулкові</v>
      </c>
      <c r="J372" s="254" t="str">
        <f>Products!P2222</f>
        <v>одностулкове</v>
      </c>
      <c r="K372" s="262" t="str">
        <f>Products!R2222</f>
        <v>двостулкові</v>
      </c>
      <c r="L372" s="254" t="str">
        <f>Products!T2222</f>
        <v>одностулкове</v>
      </c>
      <c r="M372" s="262" t="str">
        <f>Products!V2222</f>
        <v>двостулкові</v>
      </c>
    </row>
    <row r="373" spans="1:13">
      <c r="A373" s="31"/>
      <c r="B373" s="13" t="str">
        <f>Products!B2223</f>
        <v>Коробка МДФ 80 мм</v>
      </c>
      <c r="C373" s="178"/>
      <c r="D373" s="255">
        <f>Products!E2223</f>
        <v>1830</v>
      </c>
      <c r="E373" s="256">
        <f>Products!G2223</f>
        <v>2560</v>
      </c>
      <c r="F373" s="255">
        <f>Products!I2223</f>
        <v>2070</v>
      </c>
      <c r="G373" s="256">
        <f>Products!K2223</f>
        <v>2890</v>
      </c>
      <c r="H373" s="255">
        <f>Products!M2223</f>
        <v>2150</v>
      </c>
      <c r="I373" s="255">
        <f>Products!O2223</f>
        <v>3010</v>
      </c>
      <c r="J373" s="365">
        <f>Products!Q2223</f>
        <v>2370</v>
      </c>
      <c r="K373" s="366">
        <f>Products!S2223</f>
        <v>3320.0000000000005</v>
      </c>
      <c r="L373" s="365">
        <f>Products!U2223</f>
        <v>2550</v>
      </c>
      <c r="M373" s="366">
        <f>Products!W2223</f>
        <v>3570</v>
      </c>
    </row>
    <row r="374" spans="1:13">
      <c r="A374" s="31"/>
      <c r="B374" s="23" t="str">
        <f>Products!B2224</f>
        <v>Коробка Дерев'яна 80 мм</v>
      </c>
      <c r="C374" s="284"/>
      <c r="D374" s="259">
        <f>Products!E2224</f>
        <v>2220</v>
      </c>
      <c r="E374" s="260">
        <f>Products!G2224</f>
        <v>3080.0000000000005</v>
      </c>
      <c r="F374" s="259">
        <f>Products!I2224</f>
        <v>2520</v>
      </c>
      <c r="G374" s="260">
        <f>Products!K2224</f>
        <v>3530.0000000000005</v>
      </c>
      <c r="H374" s="259">
        <f>Products!M2224</f>
        <v>2680</v>
      </c>
      <c r="I374" s="259">
        <f>Products!O2224</f>
        <v>3750</v>
      </c>
      <c r="J374" s="367">
        <f>Products!Q2224</f>
        <v>2940</v>
      </c>
      <c r="K374" s="368">
        <f>Products!S2224</f>
        <v>4110</v>
      </c>
      <c r="L374" s="367">
        <f>Products!U2224</f>
        <v>3240</v>
      </c>
      <c r="M374" s="368">
        <f>Products!W2224</f>
        <v>4530</v>
      </c>
    </row>
    <row r="375" spans="1:13" s="144" customFormat="1">
      <c r="B375" s="54" t="str">
        <f>Products!B2225</f>
        <v>ЛИШТВА</v>
      </c>
      <c r="C375" s="55"/>
      <c r="D375" s="198"/>
      <c r="E375" s="198"/>
      <c r="F375" s="198"/>
      <c r="G375" s="198"/>
      <c r="H375" s="199"/>
      <c r="I375" s="199"/>
      <c r="J375" s="199"/>
      <c r="K375" s="199"/>
      <c r="L375" s="199"/>
      <c r="M375" s="199"/>
    </row>
    <row r="376" spans="1:13">
      <c r="A376" s="31"/>
      <c r="B376" s="13" t="str">
        <f>Products!B2226</f>
        <v>Прямокутна (1 к-т) 60 мм</v>
      </c>
      <c r="C376" s="176"/>
      <c r="D376" s="255">
        <f>Products!E2226</f>
        <v>510</v>
      </c>
      <c r="E376" s="256">
        <f>Products!G2226</f>
        <v>660</v>
      </c>
      <c r="F376" s="255">
        <f>Products!I2226</f>
        <v>590</v>
      </c>
      <c r="G376" s="300">
        <f>Products!K2226</f>
        <v>760</v>
      </c>
      <c r="H376" s="255">
        <f>Products!M2226</f>
        <v>690</v>
      </c>
      <c r="I376" s="255">
        <f>Products!O2226</f>
        <v>890.00000000000011</v>
      </c>
      <c r="J376" s="365">
        <f>Products!Q2226</f>
        <v>790</v>
      </c>
      <c r="K376" s="366">
        <f>Products!S2226</f>
        <v>1030</v>
      </c>
      <c r="L376" s="365">
        <f>Products!U2226</f>
        <v>860.00000000000011</v>
      </c>
      <c r="M376" s="366">
        <f>Products!W2226</f>
        <v>1120</v>
      </c>
    </row>
    <row r="377" spans="1:13">
      <c r="A377" s="31"/>
      <c r="B377" s="23" t="str">
        <f>Products!B2227</f>
        <v>Прямокутна (1 к-т) 80 мм</v>
      </c>
      <c r="C377" s="177"/>
      <c r="D377" s="265">
        <f>Products!E2227</f>
        <v>600</v>
      </c>
      <c r="E377" s="187">
        <f>Products!G2227</f>
        <v>770.00000000000011</v>
      </c>
      <c r="F377" s="329">
        <f>Products!I2227</f>
        <v>700</v>
      </c>
      <c r="G377" s="260">
        <f>Products!K2227</f>
        <v>900</v>
      </c>
      <c r="H377" s="330">
        <f>Products!M2227</f>
        <v>850</v>
      </c>
      <c r="I377" s="330">
        <f>Products!O2227</f>
        <v>1100</v>
      </c>
      <c r="J377" s="369">
        <f>Products!Q2227</f>
        <v>970</v>
      </c>
      <c r="K377" s="370">
        <f>Products!S2227</f>
        <v>1250</v>
      </c>
      <c r="L377" s="369">
        <f>Products!U2227</f>
        <v>1040</v>
      </c>
      <c r="M377" s="370">
        <f>Products!W2227</f>
        <v>1350</v>
      </c>
    </row>
    <row r="378" spans="1:13" s="144" customFormat="1">
      <c r="B378" s="54" t="str">
        <f>Products!B2228</f>
        <v>ДОБІРНІ ПЛАНКИ</v>
      </c>
      <c r="C378" s="55"/>
      <c r="D378" s="198"/>
      <c r="E378" s="198"/>
      <c r="F378" s="198"/>
      <c r="G378" s="198"/>
      <c r="H378" s="199"/>
      <c r="I378" s="199"/>
      <c r="J378" s="199"/>
      <c r="K378" s="199"/>
      <c r="L378" s="199"/>
      <c r="M378" s="199"/>
    </row>
    <row r="379" spans="1:13">
      <c r="A379" s="31"/>
      <c r="B379" s="13" t="str">
        <f>Products!B2229</f>
        <v>Планка (1 к-т) 60 мм</v>
      </c>
      <c r="C379" s="176"/>
      <c r="D379" s="255">
        <f>Products!E2229</f>
        <v>510</v>
      </c>
      <c r="E379" s="256">
        <f>Products!G2229</f>
        <v>660</v>
      </c>
      <c r="F379" s="255">
        <f>Products!I2229</f>
        <v>590</v>
      </c>
      <c r="G379" s="300">
        <f>Products!K2229</f>
        <v>760</v>
      </c>
      <c r="H379" s="255">
        <f>Products!M2229</f>
        <v>690</v>
      </c>
      <c r="I379" s="255">
        <f>Products!O2229</f>
        <v>890.00000000000011</v>
      </c>
      <c r="J379" s="365">
        <f>Products!Q2229</f>
        <v>790</v>
      </c>
      <c r="K379" s="366">
        <f>Products!S2229</f>
        <v>1030</v>
      </c>
      <c r="L379" s="365">
        <f>Products!U2229</f>
        <v>860.00000000000011</v>
      </c>
      <c r="M379" s="366">
        <f>Products!W2229</f>
        <v>1120</v>
      </c>
    </row>
    <row r="380" spans="1:13">
      <c r="A380" s="31"/>
      <c r="B380" s="16" t="str">
        <f>Products!B2230</f>
        <v>Планка (1 к-т) 110 мм</v>
      </c>
      <c r="C380" s="179"/>
      <c r="D380" s="264">
        <f>Products!E2230</f>
        <v>790</v>
      </c>
      <c r="E380" s="185">
        <f>Products!G2230</f>
        <v>1030</v>
      </c>
      <c r="F380" s="299">
        <f>Products!I2230</f>
        <v>920.00000000000011</v>
      </c>
      <c r="G380" s="258">
        <f>Products!K2230</f>
        <v>1150</v>
      </c>
      <c r="H380" s="302">
        <f>Products!M2230</f>
        <v>1040</v>
      </c>
      <c r="I380" s="302">
        <f>Products!O2230</f>
        <v>1360.0000000000002</v>
      </c>
      <c r="J380" s="371">
        <f>Products!Q2230</f>
        <v>1220</v>
      </c>
      <c r="K380" s="372">
        <f>Products!S2230</f>
        <v>1590</v>
      </c>
      <c r="L380" s="371">
        <f>Products!U2230</f>
        <v>1310</v>
      </c>
      <c r="M380" s="372">
        <f>Products!W2230</f>
        <v>1710</v>
      </c>
    </row>
    <row r="381" spans="1:13">
      <c r="A381" s="31"/>
      <c r="B381" s="23" t="str">
        <f>Products!B2231</f>
        <v>Планка (1 к-т) 200 мм</v>
      </c>
      <c r="C381" s="284"/>
      <c r="D381" s="259">
        <f>Products!E2231</f>
        <v>1540.0000000000002</v>
      </c>
      <c r="E381" s="260">
        <f>Products!G2231</f>
        <v>2000</v>
      </c>
      <c r="F381" s="259">
        <f>Products!I2231</f>
        <v>1770</v>
      </c>
      <c r="G381" s="301">
        <f>Products!K2231</f>
        <v>2320</v>
      </c>
      <c r="H381" s="259">
        <f>Products!M2231</f>
        <v>2100</v>
      </c>
      <c r="I381" s="259">
        <f>Products!O2231</f>
        <v>2740</v>
      </c>
      <c r="J381" s="367">
        <f>Products!Q2231</f>
        <v>2420</v>
      </c>
      <c r="K381" s="368">
        <f>Products!S2231</f>
        <v>3150</v>
      </c>
      <c r="L381" s="367">
        <f>Products!U2231</f>
        <v>2590</v>
      </c>
      <c r="M381" s="368">
        <f>Products!W2231</f>
        <v>3360</v>
      </c>
    </row>
    <row r="382" spans="1:13">
      <c r="C382" s="34"/>
      <c r="D382" s="34"/>
      <c r="E382" s="10"/>
      <c r="F382" s="31"/>
      <c r="G382" s="31"/>
      <c r="H382" s="144"/>
      <c r="I382" s="144"/>
      <c r="J382" s="373"/>
      <c r="K382" s="373"/>
      <c r="L382" s="352"/>
      <c r="M382" s="352"/>
    </row>
    <row r="383" spans="1:13">
      <c r="B383" s="225"/>
      <c r="C383" s="230" t="str">
        <f>Products!B2235</f>
        <v>третя завіса</v>
      </c>
      <c r="D383" s="182">
        <f>Products!E2235</f>
        <v>80</v>
      </c>
      <c r="E383" s="10"/>
      <c r="F383" s="31"/>
      <c r="G383" s="31"/>
      <c r="H383" s="144"/>
      <c r="I383" s="144"/>
      <c r="J383" s="373"/>
      <c r="K383" s="373"/>
      <c r="L383" s="352"/>
      <c r="M383" s="352"/>
    </row>
    <row r="384" spans="1:13">
      <c r="B384" s="225"/>
      <c r="C384" s="230" t="str">
        <f>Products!B2236</f>
        <v>поріг сосновий</v>
      </c>
      <c r="D384" s="186">
        <f>Products!E2236</f>
        <v>550</v>
      </c>
      <c r="E384" s="10"/>
      <c r="F384" s="31"/>
      <c r="G384" s="31"/>
      <c r="H384" s="144"/>
      <c r="I384" s="144"/>
      <c r="J384" s="373"/>
      <c r="K384" s="373"/>
      <c r="L384" s="352"/>
      <c r="M384" s="352"/>
    </row>
    <row r="385" spans="1:13">
      <c r="C385" s="34"/>
      <c r="D385" s="34"/>
      <c r="E385" s="10"/>
      <c r="F385" s="31"/>
      <c r="G385" s="31"/>
      <c r="H385" s="144"/>
      <c r="I385" s="144"/>
      <c r="J385" s="373"/>
      <c r="K385" s="373"/>
      <c r="L385" s="352"/>
      <c r="M385" s="352"/>
    </row>
    <row r="386" spans="1:13" hidden="1">
      <c r="B386" s="595" t="str">
        <f>Products!B2251</f>
        <v>Дверна коробка STANDARD - Алюм</v>
      </c>
      <c r="C386" s="596"/>
      <c r="D386" s="596"/>
      <c r="E386" s="596"/>
      <c r="F386" s="439"/>
      <c r="G386" s="439"/>
      <c r="H386" s="439"/>
      <c r="I386" s="169"/>
      <c r="J386" s="342"/>
      <c r="K386" s="486"/>
      <c r="L386" s="486"/>
      <c r="M386" s="487"/>
    </row>
    <row r="387" spans="1:13" hidden="1">
      <c r="B387" s="597" t="str">
        <f>Products!B2253</f>
        <v>модель</v>
      </c>
      <c r="C387" s="155" t="str">
        <f>Products!C2253</f>
        <v>покриття:</v>
      </c>
      <c r="D387" s="538" t="str">
        <f>Products!D2253</f>
        <v>Колір</v>
      </c>
      <c r="E387" s="553"/>
      <c r="F387" s="505"/>
      <c r="G387" s="506"/>
      <c r="H387" s="506"/>
      <c r="I387" s="47"/>
      <c r="J387" s="47"/>
      <c r="K387" s="499"/>
      <c r="L387" s="500"/>
      <c r="M387" s="501"/>
    </row>
    <row r="388" spans="1:13" ht="22.5" hidden="1">
      <c r="B388" s="598"/>
      <c r="C388" s="157" t="str">
        <f>Products!C2254</f>
        <v>виконання:</v>
      </c>
      <c r="D388" s="493" t="str">
        <f>Products!D2254</f>
        <v>анодований алюміній</v>
      </c>
      <c r="E388" s="492" t="str">
        <f>Products!F2254</f>
        <v>чорний алюміній</v>
      </c>
      <c r="F388" s="503"/>
      <c r="G388" s="494"/>
      <c r="H388" s="494"/>
      <c r="I388" s="47"/>
      <c r="J388" s="47"/>
      <c r="K388" s="46"/>
      <c r="L388" s="352"/>
      <c r="M388" s="352"/>
    </row>
    <row r="389" spans="1:13" hidden="1">
      <c r="B389" s="498" t="str">
        <f>Products!B2255</f>
        <v>Коробка прихованого монтажу 60мм</v>
      </c>
      <c r="C389" s="50"/>
      <c r="D389" s="196">
        <f>Products!E2255</f>
        <v>13930</v>
      </c>
      <c r="E389" s="502">
        <f>Products!G2255</f>
        <v>14930</v>
      </c>
      <c r="F389" s="504"/>
      <c r="G389" s="198"/>
      <c r="H389" s="198"/>
      <c r="I389" s="29"/>
      <c r="J389" s="29"/>
      <c r="K389" s="46"/>
      <c r="L389" s="352"/>
      <c r="M389" s="352"/>
    </row>
    <row r="390" spans="1:13" hidden="1">
      <c r="C390" s="34"/>
      <c r="D390" s="34"/>
      <c r="E390" s="10"/>
      <c r="F390" s="31"/>
      <c r="G390" s="31"/>
      <c r="H390" s="144"/>
      <c r="I390" s="144"/>
      <c r="J390" s="373"/>
      <c r="K390" s="373"/>
      <c r="L390" s="352"/>
      <c r="M390" s="352"/>
    </row>
    <row r="391" spans="1:13" hidden="1">
      <c r="B391" s="225"/>
      <c r="C391" s="230" t="str">
        <f>Products!B2259</f>
        <v>прихована 3D завіса хром/чорн.</v>
      </c>
      <c r="D391" s="194">
        <f>Products!E2259</f>
        <v>890.00000000000011</v>
      </c>
      <c r="E391" s="10"/>
      <c r="F391" s="31"/>
      <c r="G391" s="31"/>
      <c r="H391" s="144"/>
      <c r="I391" s="144"/>
      <c r="J391" s="373"/>
      <c r="K391" s="373"/>
      <c r="L391" s="352"/>
      <c r="M391" s="352"/>
    </row>
    <row r="392" spans="1:13" hidden="1">
      <c r="C392" s="34"/>
      <c r="D392" s="34"/>
      <c r="E392" s="10"/>
      <c r="F392" s="31"/>
      <c r="G392" s="31"/>
      <c r="H392" s="144"/>
      <c r="I392" s="144"/>
      <c r="J392" s="373"/>
      <c r="K392" s="373"/>
      <c r="L392" s="352"/>
      <c r="M392" s="352"/>
    </row>
    <row r="393" spans="1:13" hidden="1">
      <c r="C393" s="34"/>
      <c r="D393" s="34"/>
      <c r="E393" s="10"/>
      <c r="F393" s="31"/>
      <c r="G393" s="31"/>
      <c r="H393" s="144"/>
      <c r="I393" s="144"/>
      <c r="J393" s="373"/>
      <c r="K393" s="373"/>
      <c r="L393" s="352"/>
      <c r="M393" s="352"/>
    </row>
    <row r="394" spans="1:13">
      <c r="C394" s="34"/>
      <c r="D394" s="34"/>
      <c r="E394" s="10"/>
      <c r="F394" s="31"/>
      <c r="G394" s="31"/>
      <c r="H394" s="144"/>
      <c r="I394" s="144"/>
      <c r="J394" s="373"/>
      <c r="K394" s="373"/>
      <c r="L394" s="352"/>
      <c r="M394" s="352"/>
    </row>
    <row r="395" spans="1:13" s="31" customFormat="1">
      <c r="B395" s="595" t="str">
        <f>TITLE!$C$42</f>
        <v>Дверна коробка Verto-FIT</v>
      </c>
      <c r="C395" s="596"/>
      <c r="D395" s="596"/>
      <c r="E395" s="596"/>
      <c r="F395" s="294" t="str">
        <f>Products!E2287</f>
        <v>Для Дверних Полотен з Фальцем</v>
      </c>
      <c r="G395" s="169"/>
      <c r="H395" s="169"/>
      <c r="I395" s="169"/>
      <c r="J395" s="342"/>
      <c r="K395" s="342"/>
      <c r="L395" s="354"/>
      <c r="M395" s="355"/>
    </row>
    <row r="396" spans="1:13" ht="26.25" customHeight="1">
      <c r="A396" s="31"/>
      <c r="B396" s="589" t="str">
        <f>Products!B2289</f>
        <v>модель</v>
      </c>
      <c r="C396" s="155" t="str">
        <f>Products!C2289</f>
        <v>покриття:</v>
      </c>
      <c r="D396" s="553" t="str">
        <f>Products!D2289</f>
        <v xml:space="preserve">SIMPLEX / VERTO-CELL </v>
      </c>
      <c r="E396" s="539"/>
      <c r="F396" s="553" t="str">
        <f>Products!H2289</f>
        <v>UNI-MAT</v>
      </c>
      <c r="G396" s="539"/>
      <c r="H396" s="553" t="str">
        <f>Products!L2289</f>
        <v>RESIST</v>
      </c>
      <c r="I396" s="539"/>
      <c r="J396" s="553" t="str">
        <f>Products!P2289</f>
        <v>Verto LINE-3D</v>
      </c>
      <c r="K396" s="539"/>
      <c r="L396" s="553" t="str">
        <f>Products!T2289</f>
        <v>ЕКО Шпон / LOFT</v>
      </c>
      <c r="M396" s="539"/>
    </row>
    <row r="397" spans="1:13" ht="12.75" customHeight="1">
      <c r="A397" s="31"/>
      <c r="B397" s="590"/>
      <c r="C397" s="157" t="str">
        <f>Products!C2290</f>
        <v>виконання:</v>
      </c>
      <c r="D397" s="254" t="str">
        <f>Products!D2290</f>
        <v>одностулкове</v>
      </c>
      <c r="E397" s="262" t="str">
        <f>Products!F2290</f>
        <v>двостулкові</v>
      </c>
      <c r="F397" s="254" t="str">
        <f>Products!H2290</f>
        <v>одностулкове</v>
      </c>
      <c r="G397" s="262" t="str">
        <f>Products!J2290</f>
        <v>двостулкові</v>
      </c>
      <c r="H397" s="254" t="str">
        <f>Products!L2290</f>
        <v>одностулкове</v>
      </c>
      <c r="I397" s="254" t="str">
        <f>Products!N2290</f>
        <v>двостулкові</v>
      </c>
      <c r="J397" s="254" t="str">
        <f>Products!P2290</f>
        <v>одностулкове</v>
      </c>
      <c r="K397" s="262" t="str">
        <f>Products!R2290</f>
        <v>двостулкові</v>
      </c>
      <c r="L397" s="254" t="str">
        <f>Products!T2290</f>
        <v>одностулкове</v>
      </c>
      <c r="M397" s="262" t="str">
        <f>Products!V2290</f>
        <v>двостулкові</v>
      </c>
    </row>
    <row r="398" spans="1:13">
      <c r="A398" s="31"/>
      <c r="B398" s="13" t="str">
        <f>Products!B2291</f>
        <v>A (75 - 95 мм)</v>
      </c>
      <c r="C398" s="178"/>
      <c r="D398" s="255">
        <f>Products!E2291</f>
        <v>2980</v>
      </c>
      <c r="E398" s="256">
        <f>Products!G2291</f>
        <v>4170</v>
      </c>
      <c r="F398" s="255">
        <f>Products!I2291</f>
        <v>3440.0000000000005</v>
      </c>
      <c r="G398" s="256">
        <f>Products!K2291</f>
        <v>4820</v>
      </c>
      <c r="H398" s="255">
        <f>Products!M2291</f>
        <v>3570</v>
      </c>
      <c r="I398" s="255">
        <f>Products!O2291</f>
        <v>4990.0000000000009</v>
      </c>
      <c r="J398" s="365">
        <f>Products!Q2291</f>
        <v>3800</v>
      </c>
      <c r="K398" s="366">
        <f>Products!S2291</f>
        <v>5320.0000000000009</v>
      </c>
      <c r="L398" s="365">
        <f>Products!U2291</f>
        <v>4060</v>
      </c>
      <c r="M398" s="366">
        <f>Products!W2291</f>
        <v>5980.0000000000009</v>
      </c>
    </row>
    <row r="399" spans="1:13">
      <c r="A399" s="31"/>
      <c r="B399" s="16" t="str">
        <f>Products!B2292</f>
        <v>B (95 - 115 мм)</v>
      </c>
      <c r="C399" s="179"/>
      <c r="D399" s="257">
        <f>Products!E2292</f>
        <v>3160</v>
      </c>
      <c r="E399" s="258">
        <f>Products!G2292</f>
        <v>4420</v>
      </c>
      <c r="F399" s="257">
        <f>Products!I2292</f>
        <v>3640</v>
      </c>
      <c r="G399" s="258">
        <f>Products!K2292</f>
        <v>5100</v>
      </c>
      <c r="H399" s="257">
        <f>Products!M2292</f>
        <v>3800</v>
      </c>
      <c r="I399" s="257">
        <f>Products!O2292</f>
        <v>5310</v>
      </c>
      <c r="J399" s="374">
        <f>Products!Q2292</f>
        <v>4020</v>
      </c>
      <c r="K399" s="375">
        <f>Products!S2292</f>
        <v>5620.0000000000009</v>
      </c>
      <c r="L399" s="374">
        <f>Products!U2292</f>
        <v>4300</v>
      </c>
      <c r="M399" s="375">
        <f>Products!W2292</f>
        <v>6020</v>
      </c>
    </row>
    <row r="400" spans="1:13">
      <c r="A400" s="31"/>
      <c r="B400" s="16" t="str">
        <f>Products!B2293</f>
        <v>B+ (100 - 120 мм)</v>
      </c>
      <c r="C400" s="179"/>
      <c r="D400" s="257">
        <f>Products!E2293</f>
        <v>3280</v>
      </c>
      <c r="E400" s="258">
        <f>Products!G2293</f>
        <v>4590</v>
      </c>
      <c r="F400" s="257">
        <f>Products!I2293</f>
        <v>3760</v>
      </c>
      <c r="G400" s="258">
        <f>Products!K2293</f>
        <v>5270</v>
      </c>
      <c r="H400" s="257">
        <f>Products!M2293</f>
        <v>3910</v>
      </c>
      <c r="I400" s="257">
        <f>Products!O2293</f>
        <v>5470.0000000000009</v>
      </c>
      <c r="J400" s="374">
        <f>Products!Q2293</f>
        <v>4140</v>
      </c>
      <c r="K400" s="375">
        <f>Products!S2293</f>
        <v>5790</v>
      </c>
      <c r="L400" s="374">
        <f>Products!U2293</f>
        <v>4420</v>
      </c>
      <c r="M400" s="375">
        <f>Products!W2293</f>
        <v>6180</v>
      </c>
    </row>
    <row r="401" spans="1:13">
      <c r="A401" s="31"/>
      <c r="B401" s="16" t="str">
        <f>Products!B2294</f>
        <v>C (120 - 140 мм)</v>
      </c>
      <c r="C401" s="179"/>
      <c r="D401" s="257">
        <f>Products!E2294</f>
        <v>3370</v>
      </c>
      <c r="E401" s="258">
        <f>Products!G2294</f>
        <v>4720</v>
      </c>
      <c r="F401" s="257">
        <f>Products!I2294</f>
        <v>3880</v>
      </c>
      <c r="G401" s="258">
        <f>Products!K2294</f>
        <v>5430</v>
      </c>
      <c r="H401" s="257">
        <f>Products!M2294</f>
        <v>4000</v>
      </c>
      <c r="I401" s="257">
        <f>Products!O2294</f>
        <v>5610</v>
      </c>
      <c r="J401" s="374">
        <f>Products!Q2294</f>
        <v>4250</v>
      </c>
      <c r="K401" s="375">
        <f>Products!S2294</f>
        <v>5950.0000000000009</v>
      </c>
      <c r="L401" s="374">
        <f>Products!U2294</f>
        <v>4550</v>
      </c>
      <c r="M401" s="375">
        <f>Products!W2294</f>
        <v>6360</v>
      </c>
    </row>
    <row r="402" spans="1:13">
      <c r="A402" s="31"/>
      <c r="B402" s="16" t="str">
        <f>Products!B2295</f>
        <v>D (140 - 160 мм)</v>
      </c>
      <c r="C402" s="179"/>
      <c r="D402" s="257">
        <f>Products!E2295</f>
        <v>3550</v>
      </c>
      <c r="E402" s="258">
        <f>Products!G2295</f>
        <v>4970</v>
      </c>
      <c r="F402" s="257">
        <f>Products!I2295</f>
        <v>4080</v>
      </c>
      <c r="G402" s="258">
        <f>Products!K2295</f>
        <v>5710.0000000000009</v>
      </c>
      <c r="H402" s="257">
        <f>Products!M2295</f>
        <v>4230</v>
      </c>
      <c r="I402" s="257">
        <f>Products!O2295</f>
        <v>5920.0000000000009</v>
      </c>
      <c r="J402" s="374">
        <f>Products!Q2295</f>
        <v>4490</v>
      </c>
      <c r="K402" s="375">
        <f>Products!S2295</f>
        <v>6290</v>
      </c>
      <c r="L402" s="374">
        <f>Products!U2295</f>
        <v>4780</v>
      </c>
      <c r="M402" s="375">
        <f>Products!W2295</f>
        <v>6690</v>
      </c>
    </row>
    <row r="403" spans="1:13">
      <c r="A403" s="31"/>
      <c r="B403" s="16" t="str">
        <f>Products!B2296</f>
        <v>E (160 - 180 мм)</v>
      </c>
      <c r="C403" s="179"/>
      <c r="D403" s="257">
        <f>Products!E2296</f>
        <v>3730</v>
      </c>
      <c r="E403" s="258">
        <f>Products!G2296</f>
        <v>5220</v>
      </c>
      <c r="F403" s="257">
        <f>Products!I2296</f>
        <v>4300</v>
      </c>
      <c r="G403" s="258">
        <f>Products!K2296</f>
        <v>6020</v>
      </c>
      <c r="H403" s="257">
        <f>Products!M2296</f>
        <v>4430</v>
      </c>
      <c r="I403" s="257">
        <f>Products!O2296</f>
        <v>6210</v>
      </c>
      <c r="J403" s="374">
        <f>Products!Q2296</f>
        <v>4720</v>
      </c>
      <c r="K403" s="375">
        <f>Products!S2296</f>
        <v>6610.0000000000009</v>
      </c>
      <c r="L403" s="374">
        <f>Products!U2296</f>
        <v>5030</v>
      </c>
      <c r="M403" s="375">
        <f>Products!W2296</f>
        <v>7040</v>
      </c>
    </row>
    <row r="404" spans="1:13">
      <c r="A404" s="31"/>
      <c r="B404" s="16" t="str">
        <f>Products!B2297</f>
        <v>F (180 - 200 мм)</v>
      </c>
      <c r="C404" s="179"/>
      <c r="D404" s="257">
        <f>Products!E2297</f>
        <v>3920</v>
      </c>
      <c r="E404" s="258">
        <f>Products!G2297</f>
        <v>5490</v>
      </c>
      <c r="F404" s="257">
        <f>Products!I2297</f>
        <v>4510</v>
      </c>
      <c r="G404" s="258">
        <f>Products!K2297</f>
        <v>6300</v>
      </c>
      <c r="H404" s="257">
        <f>Products!M2297</f>
        <v>4660</v>
      </c>
      <c r="I404" s="257">
        <f>Products!O2297</f>
        <v>6520.0000000000009</v>
      </c>
      <c r="J404" s="374">
        <f>Products!Q2297</f>
        <v>4940</v>
      </c>
      <c r="K404" s="375">
        <f>Products!S2297</f>
        <v>6920</v>
      </c>
      <c r="L404" s="374">
        <f>Products!U2297</f>
        <v>5280</v>
      </c>
      <c r="M404" s="375">
        <f>Products!W2297</f>
        <v>7390</v>
      </c>
    </row>
    <row r="405" spans="1:13">
      <c r="A405" s="31"/>
      <c r="B405" s="16" t="str">
        <f>Products!B2298</f>
        <v>G (200 - 220 мм)</v>
      </c>
      <c r="C405" s="179"/>
      <c r="D405" s="257">
        <f>Products!E2298</f>
        <v>4100</v>
      </c>
      <c r="E405" s="258">
        <f>Products!G2298</f>
        <v>5740.0000000000009</v>
      </c>
      <c r="F405" s="257">
        <f>Products!I2298</f>
        <v>4730</v>
      </c>
      <c r="G405" s="258">
        <f>Products!K2298</f>
        <v>6610.0000000000009</v>
      </c>
      <c r="H405" s="257">
        <f>Products!M2298</f>
        <v>4890</v>
      </c>
      <c r="I405" s="257">
        <f>Products!O2298</f>
        <v>6840</v>
      </c>
      <c r="J405" s="374">
        <f>Products!Q2298</f>
        <v>5180</v>
      </c>
      <c r="K405" s="375">
        <f>Products!S2298</f>
        <v>7250</v>
      </c>
      <c r="L405" s="374">
        <f>Products!U2298</f>
        <v>5520</v>
      </c>
      <c r="M405" s="375">
        <f>Products!W2298</f>
        <v>7720</v>
      </c>
    </row>
    <row r="406" spans="1:13">
      <c r="A406" s="31"/>
      <c r="B406" s="16" t="str">
        <f>Products!B2299</f>
        <v>H (220 - 240 мм)</v>
      </c>
      <c r="C406" s="179"/>
      <c r="D406" s="257">
        <f>Products!E2299</f>
        <v>4290</v>
      </c>
      <c r="E406" s="258">
        <f>Products!G2299</f>
        <v>6000</v>
      </c>
      <c r="F406" s="257">
        <f>Products!I2299</f>
        <v>4940</v>
      </c>
      <c r="G406" s="258">
        <f>Products!K2299</f>
        <v>6920</v>
      </c>
      <c r="H406" s="257">
        <f>Products!M2299</f>
        <v>5090</v>
      </c>
      <c r="I406" s="257">
        <f>Products!O2299</f>
        <v>7120.0000000000009</v>
      </c>
      <c r="J406" s="374">
        <f>Products!Q2299</f>
        <v>5420</v>
      </c>
      <c r="K406" s="375">
        <f>Products!S2299</f>
        <v>7570</v>
      </c>
      <c r="L406" s="374">
        <f>Products!U2299</f>
        <v>5770.0000000000009</v>
      </c>
      <c r="M406" s="375">
        <f>Products!W2299</f>
        <v>8070</v>
      </c>
    </row>
    <row r="407" spans="1:13" s="144" customFormat="1">
      <c r="A407" s="31"/>
      <c r="B407" s="23" t="str">
        <f>Products!B2300</f>
        <v>I (240 - 260 мм)</v>
      </c>
      <c r="C407" s="177"/>
      <c r="D407" s="259">
        <f>Products!E2300</f>
        <v>4490</v>
      </c>
      <c r="E407" s="260">
        <f>Products!G2300</f>
        <v>6290</v>
      </c>
      <c r="F407" s="259">
        <f>Products!I2300</f>
        <v>5170.0000000000009</v>
      </c>
      <c r="G407" s="260">
        <f>Products!K2300</f>
        <v>7240.0000000000009</v>
      </c>
      <c r="H407" s="259">
        <f>Products!M2300</f>
        <v>5300</v>
      </c>
      <c r="I407" s="259">
        <f>Products!O2300</f>
        <v>7430</v>
      </c>
      <c r="J407" s="367">
        <f>Products!Q2300</f>
        <v>5640</v>
      </c>
      <c r="K407" s="368">
        <f>Products!S2300</f>
        <v>7900</v>
      </c>
      <c r="L407" s="367">
        <f>Products!U2300</f>
        <v>6020</v>
      </c>
      <c r="M407" s="368">
        <f>Products!W2300</f>
        <v>8420</v>
      </c>
    </row>
    <row r="408" spans="1:13">
      <c r="A408" s="144"/>
      <c r="B408" s="54" t="str">
        <f>Products!B2301</f>
        <v>ПЛАНКИ РЕГУЛЮВАЛЬНІ</v>
      </c>
      <c r="C408" s="55"/>
      <c r="D408" s="606" t="str">
        <f>Products!E2301</f>
        <v>Для Дверних Коробок Verto-FIT, Verto-FIT  Plus</v>
      </c>
      <c r="E408" s="606"/>
      <c r="F408" s="606"/>
      <c r="G408" s="606"/>
      <c r="H408" s="199"/>
      <c r="I408" s="199"/>
      <c r="J408" s="199"/>
      <c r="K408" s="199"/>
      <c r="L408" s="376"/>
      <c r="M408" s="376"/>
    </row>
    <row r="409" spans="1:13">
      <c r="A409" s="31"/>
      <c r="B409" s="13" t="str">
        <f>Products!B2302</f>
        <v>Планка (1 к-т) 80 мм</v>
      </c>
      <c r="C409" s="176"/>
      <c r="D409" s="255">
        <f>Products!E2302</f>
        <v>1060</v>
      </c>
      <c r="E409" s="256">
        <f>Products!G2302</f>
        <v>1380</v>
      </c>
      <c r="F409" s="255">
        <f>Products!I2302</f>
        <v>1230</v>
      </c>
      <c r="G409" s="300">
        <f>Products!K2302</f>
        <v>1610</v>
      </c>
      <c r="H409" s="255">
        <f>Products!M2302</f>
        <v>1290</v>
      </c>
      <c r="I409" s="255">
        <f>Products!O2302</f>
        <v>1690.0000000000002</v>
      </c>
      <c r="J409" s="365">
        <f>Products!Q2302</f>
        <v>1400</v>
      </c>
      <c r="K409" s="366">
        <f>Products!S2302</f>
        <v>1820</v>
      </c>
      <c r="L409" s="365">
        <f>Products!U2302</f>
        <v>1470</v>
      </c>
      <c r="M409" s="366">
        <f>Products!W2302</f>
        <v>1910</v>
      </c>
    </row>
    <row r="410" spans="1:13">
      <c r="A410" s="31"/>
      <c r="B410" s="16" t="str">
        <f>Products!B2303</f>
        <v>Планка (1 к-т) 160 мм</v>
      </c>
      <c r="C410" s="179"/>
      <c r="D410" s="264">
        <f>Products!E2303</f>
        <v>1810.0000000000002</v>
      </c>
      <c r="E410" s="185">
        <f>Products!G2303</f>
        <v>2350</v>
      </c>
      <c r="F410" s="299">
        <f>Products!I2303</f>
        <v>2090</v>
      </c>
      <c r="G410" s="258">
        <f>Products!K2303</f>
        <v>2730</v>
      </c>
      <c r="H410" s="302">
        <f>Products!M2303</f>
        <v>2230</v>
      </c>
      <c r="I410" s="302">
        <f>Products!O2303</f>
        <v>2890</v>
      </c>
      <c r="J410" s="371">
        <f>Products!Q2303</f>
        <v>2360</v>
      </c>
      <c r="K410" s="372">
        <f>Products!S2303</f>
        <v>3090</v>
      </c>
      <c r="L410" s="371">
        <f>Products!U2303</f>
        <v>2560</v>
      </c>
      <c r="M410" s="372">
        <f>Products!W2303</f>
        <v>3310</v>
      </c>
    </row>
    <row r="411" spans="1:13">
      <c r="A411" s="31"/>
      <c r="B411" s="23" t="str">
        <f>Products!B2304</f>
        <v>Планка (1 к-т) 200 мм</v>
      </c>
      <c r="C411" s="284"/>
      <c r="D411" s="259">
        <f>Products!E2304</f>
        <v>2200</v>
      </c>
      <c r="E411" s="260">
        <f>Products!G2304</f>
        <v>2860</v>
      </c>
      <c r="F411" s="259">
        <f>Products!I2304</f>
        <v>2540.0000000000005</v>
      </c>
      <c r="G411" s="301">
        <f>Products!K2304</f>
        <v>3300</v>
      </c>
      <c r="H411" s="259">
        <f>Products!M2304</f>
        <v>2730</v>
      </c>
      <c r="I411" s="259">
        <f>Products!O2304</f>
        <v>3540</v>
      </c>
      <c r="J411" s="367">
        <f>Products!Q2304</f>
        <v>2870.0000000000005</v>
      </c>
      <c r="K411" s="368">
        <f>Products!S2304</f>
        <v>3730</v>
      </c>
      <c r="L411" s="367">
        <f>Products!U2304</f>
        <v>3120</v>
      </c>
      <c r="M411" s="368">
        <f>Products!W2304</f>
        <v>4060</v>
      </c>
    </row>
    <row r="412" spans="1:13">
      <c r="C412" s="34"/>
      <c r="D412" s="231"/>
      <c r="E412" s="231"/>
      <c r="F412" s="232"/>
      <c r="G412" s="232"/>
      <c r="H412" s="233"/>
      <c r="I412" s="233"/>
      <c r="J412" s="377"/>
      <c r="K412" s="377"/>
      <c r="L412" s="378"/>
      <c r="M412" s="378"/>
    </row>
    <row r="413" spans="1:13">
      <c r="B413" s="225"/>
      <c r="C413" s="230" t="str">
        <f>Products!B2308</f>
        <v>третя завіса</v>
      </c>
      <c r="D413" s="194">
        <f>Products!E2308</f>
        <v>80</v>
      </c>
      <c r="E413" s="34"/>
      <c r="H413" s="144"/>
      <c r="I413" s="144"/>
      <c r="J413" s="373"/>
      <c r="K413" s="373"/>
      <c r="L413" s="352"/>
      <c r="M413" s="352"/>
    </row>
    <row r="414" spans="1:13" s="31" customFormat="1">
      <c r="A414" s="33"/>
      <c r="B414" s="33"/>
      <c r="C414" s="34"/>
      <c r="D414" s="34"/>
      <c r="E414" s="34"/>
      <c r="F414" s="33"/>
      <c r="G414" s="33"/>
      <c r="H414" s="144"/>
      <c r="I414" s="144"/>
      <c r="J414" s="373"/>
      <c r="K414" s="373"/>
      <c r="L414" s="352"/>
      <c r="M414" s="352"/>
    </row>
    <row r="415" spans="1:13">
      <c r="A415" s="31"/>
      <c r="B415" s="595" t="str">
        <f>TITLE!$C$43</f>
        <v>Дверна коробка Verto-FIT Plus</v>
      </c>
      <c r="C415" s="596"/>
      <c r="D415" s="596"/>
      <c r="E415" s="596"/>
      <c r="F415" s="294" t="str">
        <f>Products!E2359</f>
        <v>Для Дверних Полотен з Фальцем</v>
      </c>
      <c r="G415" s="169"/>
      <c r="H415" s="169"/>
      <c r="I415" s="169"/>
      <c r="J415" s="342"/>
      <c r="K415" s="342"/>
      <c r="L415" s="354"/>
      <c r="M415" s="355"/>
    </row>
    <row r="416" spans="1:13" ht="27" customHeight="1">
      <c r="A416" s="31"/>
      <c r="B416" s="589" t="str">
        <f>Products!B2361</f>
        <v>модель</v>
      </c>
      <c r="C416" s="155" t="str">
        <f>Products!C2361</f>
        <v>покриття:</v>
      </c>
      <c r="D416" s="553" t="str">
        <f>Products!D2361</f>
        <v>SIMPLEX / VERTO-CELL</v>
      </c>
      <c r="E416" s="539"/>
      <c r="F416" s="553" t="str">
        <f>Products!H2361</f>
        <v>UNI-MAT</v>
      </c>
      <c r="G416" s="539"/>
      <c r="H416" s="553" t="str">
        <f>Products!L2361</f>
        <v>RESIST</v>
      </c>
      <c r="I416" s="539"/>
      <c r="J416" s="553" t="str">
        <f>Products!P2361</f>
        <v>Verto LINE-3D</v>
      </c>
      <c r="K416" s="539"/>
      <c r="L416" s="553" t="str">
        <f>Products!T2361</f>
        <v>ЕКО Шпон / LOFT</v>
      </c>
      <c r="M416" s="539"/>
    </row>
    <row r="417" spans="1:13">
      <c r="A417" s="31"/>
      <c r="B417" s="590"/>
      <c r="C417" s="157" t="str">
        <f>Products!C2362</f>
        <v>виконання:</v>
      </c>
      <c r="D417" s="254" t="str">
        <f>Products!D2362</f>
        <v>одностулкове</v>
      </c>
      <c r="E417" s="262" t="str">
        <f>Products!F2362</f>
        <v>двостулкові</v>
      </c>
      <c r="F417" s="254" t="str">
        <f>Products!H2362</f>
        <v>одностулкове</v>
      </c>
      <c r="G417" s="262" t="str">
        <f>Products!J2362</f>
        <v>двостулкові</v>
      </c>
      <c r="H417" s="254" t="str">
        <f>Products!L2362</f>
        <v>одностулкове</v>
      </c>
      <c r="I417" s="254" t="str">
        <f>Products!N2362</f>
        <v>двостулкові</v>
      </c>
      <c r="J417" s="254" t="str">
        <f>Products!P2362</f>
        <v>одностулкове</v>
      </c>
      <c r="K417" s="262" t="str">
        <f>Products!R2362</f>
        <v>двостулкові</v>
      </c>
      <c r="L417" s="254" t="str">
        <f>Products!T2362</f>
        <v>одностулкове</v>
      </c>
      <c r="M417" s="262" t="str">
        <f>Products!V2362</f>
        <v>двостулкові</v>
      </c>
    </row>
    <row r="418" spans="1:13">
      <c r="A418" s="31"/>
      <c r="B418" s="13" t="str">
        <f>Products!B2363</f>
        <v>A (75 - 95 мм)</v>
      </c>
      <c r="C418" s="178"/>
      <c r="D418" s="255">
        <f>Products!E2363</f>
        <v>3320.0000000000005</v>
      </c>
      <c r="E418" s="256">
        <f>Products!G2363</f>
        <v>4660</v>
      </c>
      <c r="F418" s="255">
        <f>Products!I2363</f>
        <v>3820</v>
      </c>
      <c r="G418" s="256">
        <f>Products!K2363</f>
        <v>5350.0000000000009</v>
      </c>
      <c r="H418" s="255">
        <f>Products!M2363</f>
        <v>4060</v>
      </c>
      <c r="I418" s="255">
        <f>Products!O2363</f>
        <v>5690</v>
      </c>
      <c r="J418" s="365">
        <f>Products!Q2363</f>
        <v>4340</v>
      </c>
      <c r="K418" s="366">
        <f>Products!S2363</f>
        <v>6080</v>
      </c>
      <c r="L418" s="365">
        <f>Products!U2363</f>
        <v>4660</v>
      </c>
      <c r="M418" s="366">
        <f>Products!W2363</f>
        <v>6520.0000000000009</v>
      </c>
    </row>
    <row r="419" spans="1:13">
      <c r="A419" s="31"/>
      <c r="B419" s="16" t="str">
        <f>Products!B2364</f>
        <v>B (95 - 115 мм)</v>
      </c>
      <c r="C419" s="179"/>
      <c r="D419" s="257">
        <f>Products!E2364</f>
        <v>3500.0000000000005</v>
      </c>
      <c r="E419" s="258">
        <f>Products!G2364</f>
        <v>4900</v>
      </c>
      <c r="F419" s="257">
        <f>Products!I2364</f>
        <v>4040</v>
      </c>
      <c r="G419" s="258">
        <f>Products!K2364</f>
        <v>5650.0000000000009</v>
      </c>
      <c r="H419" s="257">
        <f>Products!M2364</f>
        <v>4270</v>
      </c>
      <c r="I419" s="257">
        <f>Products!O2364</f>
        <v>5980.0000000000009</v>
      </c>
      <c r="J419" s="374">
        <f>Products!Q2364</f>
        <v>4580</v>
      </c>
      <c r="K419" s="375">
        <f>Products!S2364</f>
        <v>6410</v>
      </c>
      <c r="L419" s="374">
        <f>Products!U2364</f>
        <v>4890</v>
      </c>
      <c r="M419" s="375">
        <f>Products!W2364</f>
        <v>6850.0000000000009</v>
      </c>
    </row>
    <row r="420" spans="1:13">
      <c r="A420" s="31"/>
      <c r="B420" s="16" t="str">
        <f>Products!B2365</f>
        <v>B+ (100 - 120 мм)</v>
      </c>
      <c r="C420" s="179"/>
      <c r="D420" s="257">
        <f>Products!E2365</f>
        <v>3600</v>
      </c>
      <c r="E420" s="258">
        <f>Products!G2365</f>
        <v>5050.0000000000009</v>
      </c>
      <c r="F420" s="257">
        <f>Products!I2365</f>
        <v>4150</v>
      </c>
      <c r="G420" s="258">
        <f>Products!K2365</f>
        <v>5810</v>
      </c>
      <c r="H420" s="257">
        <f>Products!M2365</f>
        <v>4390</v>
      </c>
      <c r="I420" s="257">
        <f>Products!O2365</f>
        <v>6140</v>
      </c>
      <c r="J420" s="374">
        <f>Products!Q2365</f>
        <v>4680</v>
      </c>
      <c r="K420" s="375">
        <f>Products!S2365</f>
        <v>6540</v>
      </c>
      <c r="L420" s="374">
        <f>Products!U2365</f>
        <v>5020.0000000000009</v>
      </c>
      <c r="M420" s="375">
        <f>Products!W2365</f>
        <v>7030.0000000000009</v>
      </c>
    </row>
    <row r="421" spans="1:13">
      <c r="A421" s="31"/>
      <c r="B421" s="16" t="str">
        <f>Products!B2366</f>
        <v>C (120 - 140 мм)</v>
      </c>
      <c r="C421" s="179"/>
      <c r="D421" s="257">
        <f>Products!E2366</f>
        <v>3690</v>
      </c>
      <c r="E421" s="258">
        <f>Products!G2366</f>
        <v>5150</v>
      </c>
      <c r="F421" s="257">
        <f>Products!I2366</f>
        <v>4240</v>
      </c>
      <c r="G421" s="258">
        <f>Products!K2366</f>
        <v>5940</v>
      </c>
      <c r="H421" s="257">
        <f>Products!M2366</f>
        <v>4490</v>
      </c>
      <c r="I421" s="257">
        <f>Products!O2366</f>
        <v>6290</v>
      </c>
      <c r="J421" s="374">
        <f>Products!Q2366</f>
        <v>4800</v>
      </c>
      <c r="K421" s="375">
        <f>Products!S2366</f>
        <v>6720</v>
      </c>
      <c r="L421" s="374">
        <f>Products!U2366</f>
        <v>5150</v>
      </c>
      <c r="M421" s="375">
        <f>Products!W2366</f>
        <v>7210.0000000000009</v>
      </c>
    </row>
    <row r="422" spans="1:13">
      <c r="A422" s="31"/>
      <c r="B422" s="16" t="str">
        <f>Products!B2367</f>
        <v>D (140 - 160 мм)</v>
      </c>
      <c r="C422" s="179"/>
      <c r="D422" s="257">
        <f>Products!E2367</f>
        <v>3890</v>
      </c>
      <c r="E422" s="258">
        <f>Products!G2367</f>
        <v>5450</v>
      </c>
      <c r="F422" s="257">
        <f>Products!I2367</f>
        <v>4480</v>
      </c>
      <c r="G422" s="258">
        <f>Products!K2367</f>
        <v>6260</v>
      </c>
      <c r="H422" s="257">
        <f>Products!M2367</f>
        <v>4690</v>
      </c>
      <c r="I422" s="257">
        <f>Products!O2367</f>
        <v>6670.0000000000009</v>
      </c>
      <c r="J422" s="374">
        <f>Products!Q2367</f>
        <v>5020.0000000000009</v>
      </c>
      <c r="K422" s="375">
        <f>Products!S2367</f>
        <v>7030.0000000000009</v>
      </c>
      <c r="L422" s="374">
        <f>Products!U2367</f>
        <v>5400</v>
      </c>
      <c r="M422" s="375">
        <f>Products!W2367</f>
        <v>7560</v>
      </c>
    </row>
    <row r="423" spans="1:13">
      <c r="A423" s="31"/>
      <c r="B423" s="16" t="str">
        <f>Products!B2368</f>
        <v>E (160 - 180 мм)</v>
      </c>
      <c r="C423" s="179"/>
      <c r="D423" s="257">
        <f>Products!E2368</f>
        <v>4060</v>
      </c>
      <c r="E423" s="258">
        <f>Products!G2368</f>
        <v>5670</v>
      </c>
      <c r="F423" s="257">
        <f>Products!I2368</f>
        <v>4670</v>
      </c>
      <c r="G423" s="258">
        <f>Products!K2368</f>
        <v>6530</v>
      </c>
      <c r="H423" s="257">
        <f>Products!M2368</f>
        <v>4900</v>
      </c>
      <c r="I423" s="257">
        <f>Products!O2368</f>
        <v>6870</v>
      </c>
      <c r="J423" s="374">
        <f>Products!Q2368</f>
        <v>5240</v>
      </c>
      <c r="K423" s="375">
        <f>Products!S2368</f>
        <v>7330.0000000000009</v>
      </c>
      <c r="L423" s="374">
        <f>Products!U2368</f>
        <v>5660</v>
      </c>
      <c r="M423" s="375">
        <f>Products!W2368</f>
        <v>7921</v>
      </c>
    </row>
    <row r="424" spans="1:13">
      <c r="A424" s="31"/>
      <c r="B424" s="16" t="str">
        <f>Products!B2369</f>
        <v>F (180 - 200 мм)</v>
      </c>
      <c r="C424" s="179"/>
      <c r="D424" s="257">
        <f>Products!E2369</f>
        <v>4260</v>
      </c>
      <c r="E424" s="258">
        <f>Products!G2369</f>
        <v>5950.0000000000009</v>
      </c>
      <c r="F424" s="257">
        <f>Products!I2369</f>
        <v>4890</v>
      </c>
      <c r="G424" s="258">
        <f>Products!K2369</f>
        <v>6840</v>
      </c>
      <c r="H424" s="257">
        <f>Products!M2369</f>
        <v>5130</v>
      </c>
      <c r="I424" s="257">
        <f>Products!O2369</f>
        <v>7190</v>
      </c>
      <c r="J424" s="374">
        <f>Products!Q2369</f>
        <v>5480</v>
      </c>
      <c r="K424" s="375">
        <f>Products!S2369</f>
        <v>7670</v>
      </c>
      <c r="L424" s="374">
        <f>Products!U2369</f>
        <v>5910</v>
      </c>
      <c r="M424" s="375">
        <f>Products!W2369</f>
        <v>8270</v>
      </c>
    </row>
    <row r="425" spans="1:13">
      <c r="A425" s="31"/>
      <c r="B425" s="16" t="str">
        <f>Products!B2370</f>
        <v>G (200 - 220 мм)</v>
      </c>
      <c r="C425" s="179"/>
      <c r="D425" s="257">
        <f>Products!E2370</f>
        <v>4430</v>
      </c>
      <c r="E425" s="258">
        <f>Products!G2370</f>
        <v>6200</v>
      </c>
      <c r="F425" s="257">
        <f>Products!I2370</f>
        <v>5100</v>
      </c>
      <c r="G425" s="258">
        <f>Products!K2370</f>
        <v>7130</v>
      </c>
      <c r="H425" s="257">
        <f>Products!M2370</f>
        <v>5340</v>
      </c>
      <c r="I425" s="257">
        <f>Products!O2370</f>
        <v>7470</v>
      </c>
      <c r="J425" s="374">
        <f>Products!Q2370</f>
        <v>5710.0000000000009</v>
      </c>
      <c r="K425" s="375">
        <f>Products!S2370</f>
        <v>7990</v>
      </c>
      <c r="L425" s="374">
        <f>Products!U2370</f>
        <v>6170</v>
      </c>
      <c r="M425" s="375">
        <f>Products!W2370</f>
        <v>8630</v>
      </c>
    </row>
    <row r="426" spans="1:13">
      <c r="A426" s="31"/>
      <c r="B426" s="16" t="str">
        <f>Products!B2371</f>
        <v>H (220 - 240 мм)</v>
      </c>
      <c r="C426" s="179"/>
      <c r="D426" s="257">
        <f>Products!E2371</f>
        <v>4610</v>
      </c>
      <c r="E426" s="258">
        <f>Products!G2371</f>
        <v>6450</v>
      </c>
      <c r="F426" s="257">
        <f>Products!I2371</f>
        <v>5300</v>
      </c>
      <c r="G426" s="258">
        <f>Products!K2371</f>
        <v>7430</v>
      </c>
      <c r="H426" s="257">
        <f>Products!M2371</f>
        <v>5550</v>
      </c>
      <c r="I426" s="257">
        <f>Products!O2371</f>
        <v>7770</v>
      </c>
      <c r="J426" s="374">
        <f>Products!Q2371</f>
        <v>5920.0000000000009</v>
      </c>
      <c r="K426" s="375">
        <f>Products!S2371</f>
        <v>8290</v>
      </c>
      <c r="L426" s="374">
        <f>Products!U2371</f>
        <v>6420</v>
      </c>
      <c r="M426" s="375">
        <f>Products!W2371</f>
        <v>8980</v>
      </c>
    </row>
    <row r="427" spans="1:13">
      <c r="A427" s="31"/>
      <c r="B427" s="23" t="str">
        <f>Products!B2372</f>
        <v>I (240 - 260 мм)</v>
      </c>
      <c r="C427" s="177"/>
      <c r="D427" s="259">
        <f>Products!E2372</f>
        <v>4800</v>
      </c>
      <c r="E427" s="260">
        <f>Products!G2372</f>
        <v>6730.0000000000009</v>
      </c>
      <c r="F427" s="259">
        <f>Products!I2372</f>
        <v>5530.0000000000009</v>
      </c>
      <c r="G427" s="260">
        <f>Products!K2372</f>
        <v>7740</v>
      </c>
      <c r="H427" s="259">
        <f>Products!M2372</f>
        <v>5750</v>
      </c>
      <c r="I427" s="259">
        <f>Products!O2372</f>
        <v>8060</v>
      </c>
      <c r="J427" s="367">
        <f>Products!Q2372</f>
        <v>6160.0000000000009</v>
      </c>
      <c r="K427" s="368">
        <f>Products!S2372</f>
        <v>8620</v>
      </c>
      <c r="L427" s="367">
        <f>Products!U2372</f>
        <v>6680</v>
      </c>
      <c r="M427" s="368">
        <f>Products!W2372</f>
        <v>9350</v>
      </c>
    </row>
    <row r="428" spans="1:13">
      <c r="C428" s="34"/>
      <c r="D428" s="231"/>
      <c r="E428" s="231"/>
      <c r="F428" s="232"/>
      <c r="G428" s="232"/>
      <c r="H428" s="233"/>
      <c r="I428" s="233"/>
      <c r="J428" s="377"/>
      <c r="K428" s="377"/>
      <c r="L428" s="378"/>
      <c r="M428" s="378"/>
    </row>
    <row r="429" spans="1:13" s="31" customFormat="1">
      <c r="A429" s="33"/>
      <c r="B429" s="225"/>
      <c r="C429" s="230" t="str">
        <f>Products!B2376</f>
        <v>третя завіса</v>
      </c>
      <c r="D429" s="194">
        <f>Products!E2376</f>
        <v>80</v>
      </c>
      <c r="E429" s="34"/>
      <c r="F429" s="33"/>
      <c r="G429" s="33"/>
      <c r="H429" s="144"/>
      <c r="I429" s="144"/>
      <c r="J429" s="373"/>
      <c r="K429" s="373"/>
      <c r="L429" s="352"/>
      <c r="M429" s="352"/>
    </row>
    <row r="430" spans="1:13">
      <c r="C430" s="34"/>
      <c r="D430" s="34"/>
      <c r="E430" s="34"/>
      <c r="H430" s="144"/>
      <c r="I430" s="144"/>
      <c r="J430" s="373"/>
      <c r="K430" s="373"/>
      <c r="L430" s="352"/>
      <c r="M430" s="352"/>
    </row>
    <row r="431" spans="1:13" ht="12.75" customHeight="1">
      <c r="A431" s="31"/>
      <c r="B431" s="595" t="str">
        <f>TITLE!$C$44</f>
        <v>Дверна коробка Verto-FIT Comfort</v>
      </c>
      <c r="C431" s="596"/>
      <c r="D431" s="596"/>
      <c r="E431" s="596"/>
      <c r="F431" s="294" t="str">
        <f>Products!E2427</f>
        <v>Для Дверних Полотен без Фальця</v>
      </c>
      <c r="G431" s="169"/>
      <c r="H431" s="169"/>
      <c r="I431" s="169"/>
      <c r="J431" s="342"/>
      <c r="K431" s="342"/>
      <c r="L431" s="354"/>
      <c r="M431" s="355"/>
    </row>
    <row r="432" spans="1:13" ht="24.75" customHeight="1">
      <c r="A432" s="31"/>
      <c r="B432" s="589" t="str">
        <f>Products!B2429</f>
        <v>модель</v>
      </c>
      <c r="C432" s="155" t="str">
        <f>Products!C2429</f>
        <v>покриття:</v>
      </c>
      <c r="D432" s="553" t="str">
        <f>Products!D2429</f>
        <v xml:space="preserve">SIMPLEX / VERTO-CELL </v>
      </c>
      <c r="E432" s="539"/>
      <c r="F432" s="553" t="str">
        <f>Products!H2429</f>
        <v>UNI-MAT</v>
      </c>
      <c r="G432" s="539"/>
      <c r="H432" s="553" t="str">
        <f>Products!L2429</f>
        <v>RESIST</v>
      </c>
      <c r="I432" s="539"/>
      <c r="J432" s="553" t="str">
        <f>Products!P2429</f>
        <v>Verto LINE-3D</v>
      </c>
      <c r="K432" s="539"/>
      <c r="L432" s="553" t="str">
        <f>Products!T2429</f>
        <v>ЕКО Шпон / LOFT</v>
      </c>
      <c r="M432" s="539"/>
    </row>
    <row r="433" spans="1:13">
      <c r="A433" s="31"/>
      <c r="B433" s="590"/>
      <c r="C433" s="157" t="str">
        <f>Products!C2430</f>
        <v>виконання:</v>
      </c>
      <c r="D433" s="254" t="str">
        <f>Products!D2430</f>
        <v>одностулкове</v>
      </c>
      <c r="E433" s="262"/>
      <c r="F433" s="254" t="str">
        <f>Products!H2430</f>
        <v>одностулкове</v>
      </c>
      <c r="G433" s="262"/>
      <c r="H433" s="254" t="str">
        <f>Products!L2430</f>
        <v>одностулкове</v>
      </c>
      <c r="I433" s="254"/>
      <c r="J433" s="254" t="str">
        <f>Products!P2430</f>
        <v>одностулкове</v>
      </c>
      <c r="K433" s="262"/>
      <c r="L433" s="254" t="str">
        <f>Products!T2430</f>
        <v>одностулкове</v>
      </c>
      <c r="M433" s="262"/>
    </row>
    <row r="434" spans="1:13">
      <c r="A434" s="31"/>
      <c r="B434" s="13" t="str">
        <f>Products!B2431</f>
        <v>A (75 - 95 мм)</v>
      </c>
      <c r="C434" s="178"/>
      <c r="D434" s="255">
        <f>Products!E2431</f>
        <v>3570</v>
      </c>
      <c r="E434" s="256"/>
      <c r="F434" s="255">
        <f>Products!I2431</f>
        <v>4100</v>
      </c>
      <c r="G434" s="256"/>
      <c r="H434" s="255">
        <f>Products!M2431</f>
        <v>4320</v>
      </c>
      <c r="I434" s="255"/>
      <c r="J434" s="365">
        <f>Products!Q2431</f>
        <v>4610</v>
      </c>
      <c r="K434" s="366"/>
      <c r="L434" s="365">
        <f>Products!U2431</f>
        <v>4930.0000000000009</v>
      </c>
      <c r="M434" s="366"/>
    </row>
    <row r="435" spans="1:13">
      <c r="A435" s="31"/>
      <c r="B435" s="16" t="str">
        <f>Products!B2432</f>
        <v>B (95 - 115 мм)</v>
      </c>
      <c r="C435" s="179"/>
      <c r="D435" s="257">
        <f>Products!E2432</f>
        <v>3740</v>
      </c>
      <c r="E435" s="258"/>
      <c r="F435" s="257">
        <f>Products!I2432</f>
        <v>4310</v>
      </c>
      <c r="G435" s="258"/>
      <c r="H435" s="257">
        <f>Products!M2432</f>
        <v>4520</v>
      </c>
      <c r="I435" s="257"/>
      <c r="J435" s="374">
        <f>Products!Q2432</f>
        <v>4840</v>
      </c>
      <c r="K435" s="375"/>
      <c r="L435" s="374">
        <f>Products!U2432</f>
        <v>5170.0000000000009</v>
      </c>
      <c r="M435" s="375"/>
    </row>
    <row r="436" spans="1:13">
      <c r="A436" s="31"/>
      <c r="B436" s="16" t="str">
        <f>Products!B2433</f>
        <v>B+ (115 - 135 мм)</v>
      </c>
      <c r="C436" s="179"/>
      <c r="D436" s="257">
        <f>Products!E2433</f>
        <v>3820</v>
      </c>
      <c r="E436" s="258"/>
      <c r="F436" s="257">
        <f>Products!I2433</f>
        <v>4400</v>
      </c>
      <c r="G436" s="258"/>
      <c r="H436" s="257">
        <f>Products!M2433</f>
        <v>4630</v>
      </c>
      <c r="I436" s="257"/>
      <c r="J436" s="374">
        <f>Products!Q2433</f>
        <v>4950</v>
      </c>
      <c r="K436" s="375"/>
      <c r="L436" s="374">
        <f>Products!U2433</f>
        <v>5280</v>
      </c>
      <c r="M436" s="375"/>
    </row>
    <row r="437" spans="1:13">
      <c r="A437" s="31"/>
      <c r="B437" s="16" t="str">
        <f>Products!B2434</f>
        <v>C (120 - 140 мм)</v>
      </c>
      <c r="C437" s="179"/>
      <c r="D437" s="257">
        <f>Products!E2434</f>
        <v>3910</v>
      </c>
      <c r="E437" s="258"/>
      <c r="F437" s="257">
        <f>Products!I2434</f>
        <v>4500</v>
      </c>
      <c r="G437" s="258"/>
      <c r="H437" s="257">
        <f>Products!M2434</f>
        <v>4710</v>
      </c>
      <c r="I437" s="257"/>
      <c r="J437" s="374">
        <f>Products!Q2434</f>
        <v>5060</v>
      </c>
      <c r="K437" s="375"/>
      <c r="L437" s="374">
        <f>Products!U2434</f>
        <v>5400</v>
      </c>
      <c r="M437" s="375"/>
    </row>
    <row r="438" spans="1:13">
      <c r="A438" s="31"/>
      <c r="B438" s="16" t="str">
        <f>Products!B2435</f>
        <v>D (140 - 160 мм)</v>
      </c>
      <c r="C438" s="179"/>
      <c r="D438" s="257">
        <f>Products!E2435</f>
        <v>4080</v>
      </c>
      <c r="E438" s="258"/>
      <c r="F438" s="257">
        <f>Products!I2435</f>
        <v>4690</v>
      </c>
      <c r="G438" s="258"/>
      <c r="H438" s="257">
        <f>Products!M2435</f>
        <v>4930.0000000000009</v>
      </c>
      <c r="I438" s="257"/>
      <c r="J438" s="374">
        <f>Products!Q2435</f>
        <v>5290.0000000000009</v>
      </c>
      <c r="K438" s="375"/>
      <c r="L438" s="374">
        <f>Products!U2435</f>
        <v>5650.0000000000009</v>
      </c>
      <c r="M438" s="375"/>
    </row>
    <row r="439" spans="1:13">
      <c r="A439" s="31"/>
      <c r="B439" s="16" t="str">
        <f>Products!B2436</f>
        <v>E (160 - 180 мм)</v>
      </c>
      <c r="C439" s="179"/>
      <c r="D439" s="257">
        <f>Products!E2436</f>
        <v>4250</v>
      </c>
      <c r="E439" s="258"/>
      <c r="F439" s="257">
        <f>Products!I2436</f>
        <v>4880</v>
      </c>
      <c r="G439" s="258"/>
      <c r="H439" s="257">
        <f>Products!M2436</f>
        <v>5140.0000000000009</v>
      </c>
      <c r="I439" s="257"/>
      <c r="J439" s="374">
        <f>Products!Q2436</f>
        <v>5520</v>
      </c>
      <c r="K439" s="375"/>
      <c r="L439" s="374">
        <f>Products!U2436</f>
        <v>5890.0000000000009</v>
      </c>
      <c r="M439" s="375"/>
    </row>
    <row r="440" spans="1:13">
      <c r="A440" s="31"/>
      <c r="B440" s="16" t="str">
        <f>Products!B2437</f>
        <v>F (180 - 200 мм)</v>
      </c>
      <c r="C440" s="179"/>
      <c r="D440" s="257">
        <f>Products!E2437</f>
        <v>4420</v>
      </c>
      <c r="E440" s="258"/>
      <c r="F440" s="257">
        <f>Products!I2437</f>
        <v>5090</v>
      </c>
      <c r="G440" s="258"/>
      <c r="H440" s="257">
        <f>Products!M2437</f>
        <v>5350.0000000000009</v>
      </c>
      <c r="I440" s="257"/>
      <c r="J440" s="374">
        <f>Products!Q2437</f>
        <v>5740.0000000000009</v>
      </c>
      <c r="K440" s="375"/>
      <c r="L440" s="374">
        <f>Products!U2437</f>
        <v>6140</v>
      </c>
      <c r="M440" s="375"/>
    </row>
    <row r="441" spans="1:13">
      <c r="A441" s="31"/>
      <c r="B441" s="16" t="str">
        <f>Products!B2438</f>
        <v>G (200 - 220 мм)</v>
      </c>
      <c r="C441" s="179"/>
      <c r="D441" s="257">
        <f>Products!E2438</f>
        <v>4590</v>
      </c>
      <c r="E441" s="258"/>
      <c r="F441" s="257">
        <f>Products!I2438</f>
        <v>5280</v>
      </c>
      <c r="G441" s="258"/>
      <c r="H441" s="257">
        <f>Products!M2438</f>
        <v>5560.0000000000009</v>
      </c>
      <c r="I441" s="257"/>
      <c r="J441" s="374">
        <f>Products!Q2438</f>
        <v>5970</v>
      </c>
      <c r="K441" s="375"/>
      <c r="L441" s="374">
        <f>Products!U2438</f>
        <v>6370.0000000000009</v>
      </c>
      <c r="M441" s="375"/>
    </row>
    <row r="442" spans="1:13">
      <c r="A442" s="31"/>
      <c r="B442" s="16" t="str">
        <f>Products!B2439</f>
        <v>H (220 - 240 мм)</v>
      </c>
      <c r="C442" s="179"/>
      <c r="D442" s="257">
        <f>Products!E2439</f>
        <v>4760</v>
      </c>
      <c r="E442" s="258"/>
      <c r="F442" s="257">
        <f>Products!I2439</f>
        <v>5470.0000000000009</v>
      </c>
      <c r="G442" s="258"/>
      <c r="H442" s="257">
        <f>Products!M2439</f>
        <v>5760</v>
      </c>
      <c r="I442" s="257"/>
      <c r="J442" s="374">
        <f>Products!Q2439</f>
        <v>6190.0000000000009</v>
      </c>
      <c r="K442" s="375"/>
      <c r="L442" s="374">
        <f>Products!U2439</f>
        <v>6600</v>
      </c>
      <c r="M442" s="375"/>
    </row>
    <row r="443" spans="1:13">
      <c r="A443" s="31"/>
      <c r="B443" s="23" t="str">
        <f>Products!B2440</f>
        <v>I (240 - 260 мм)</v>
      </c>
      <c r="C443" s="177"/>
      <c r="D443" s="259">
        <f>Products!E2440</f>
        <v>4930.0000000000009</v>
      </c>
      <c r="E443" s="260"/>
      <c r="F443" s="259">
        <f>Products!I2440</f>
        <v>5660</v>
      </c>
      <c r="G443" s="260"/>
      <c r="H443" s="259">
        <f>Products!M2440</f>
        <v>5990</v>
      </c>
      <c r="I443" s="259"/>
      <c r="J443" s="367">
        <f>Products!Q2440</f>
        <v>6420</v>
      </c>
      <c r="K443" s="368"/>
      <c r="L443" s="367">
        <f>Products!U2440</f>
        <v>6850.0000000000009</v>
      </c>
      <c r="M443" s="368"/>
    </row>
    <row r="444" spans="1:13">
      <c r="A444" s="144"/>
      <c r="B444" s="54" t="str">
        <f>Products!B2484</f>
        <v>ПЛАНКИ РЕГУЛЮВАЛЬНІ</v>
      </c>
      <c r="C444" s="55"/>
      <c r="D444" s="606" t="str">
        <f>Products!E2443</f>
        <v>Для Дверних Коробок Verto-FIT  Comfort</v>
      </c>
      <c r="E444" s="606"/>
      <c r="F444" s="606"/>
      <c r="G444" s="606"/>
      <c r="H444" s="199"/>
      <c r="I444" s="199"/>
      <c r="J444" s="199"/>
      <c r="K444" s="199"/>
      <c r="L444" s="376"/>
      <c r="M444" s="376"/>
    </row>
    <row r="445" spans="1:13">
      <c r="A445" s="31"/>
      <c r="B445" s="13" t="str">
        <f>Products!B2485</f>
        <v>Планка (1 к-т) 80 мм</v>
      </c>
      <c r="C445" s="176"/>
      <c r="D445" s="255">
        <f>Products!E2485</f>
        <v>1190</v>
      </c>
      <c r="E445" s="256"/>
      <c r="F445" s="255">
        <f>Products!I2485</f>
        <v>1310</v>
      </c>
      <c r="G445" s="300"/>
      <c r="H445" s="255">
        <f>Products!M2485</f>
        <v>1390.0000000000002</v>
      </c>
      <c r="I445" s="255"/>
      <c r="J445" s="365">
        <f>Products!Q2444</f>
        <v>1470</v>
      </c>
      <c r="K445" s="366"/>
      <c r="L445" s="365">
        <f>Products!U2444</f>
        <v>1550</v>
      </c>
      <c r="M445" s="366"/>
    </row>
    <row r="446" spans="1:13">
      <c r="A446" s="31"/>
      <c r="B446" s="16" t="str">
        <f>Products!B2486</f>
        <v>Планка (1 к-т) 160 мм</v>
      </c>
      <c r="C446" s="179"/>
      <c r="D446" s="264">
        <f>Products!E2486</f>
        <v>1980</v>
      </c>
      <c r="E446" s="185"/>
      <c r="F446" s="299">
        <f>Products!I2486</f>
        <v>2250</v>
      </c>
      <c r="G446" s="258"/>
      <c r="H446" s="302">
        <f>Products!M2486</f>
        <v>2390</v>
      </c>
      <c r="I446" s="302"/>
      <c r="J446" s="371">
        <f>Products!Q2445</f>
        <v>2540.0000000000005</v>
      </c>
      <c r="K446" s="372"/>
      <c r="L446" s="371">
        <f>Products!U2445</f>
        <v>2690.0000000000005</v>
      </c>
      <c r="M446" s="372"/>
    </row>
    <row r="447" spans="1:13">
      <c r="A447" s="31"/>
      <c r="B447" s="23" t="str">
        <f>Products!B2487</f>
        <v>Планка (1 к-т) 200 мм</v>
      </c>
      <c r="C447" s="284"/>
      <c r="D447" s="259">
        <f>Products!E2487</f>
        <v>2360</v>
      </c>
      <c r="E447" s="260"/>
      <c r="F447" s="259">
        <f>Products!I2487</f>
        <v>2690.0000000000005</v>
      </c>
      <c r="G447" s="301"/>
      <c r="H447" s="259">
        <f>Products!M2487</f>
        <v>2870.0000000000005</v>
      </c>
      <c r="I447" s="259"/>
      <c r="J447" s="367">
        <f>Products!Q2446</f>
        <v>3030</v>
      </c>
      <c r="K447" s="368"/>
      <c r="L447" s="367">
        <f>Products!U2446</f>
        <v>3210</v>
      </c>
      <c r="M447" s="368"/>
    </row>
    <row r="448" spans="1:13">
      <c r="C448" s="34"/>
      <c r="D448" s="231"/>
      <c r="E448" s="231"/>
      <c r="F448" s="232"/>
      <c r="G448" s="232"/>
      <c r="H448" s="233"/>
      <c r="I448" s="233"/>
      <c r="J448" s="377"/>
      <c r="K448" s="377"/>
      <c r="L448" s="378"/>
      <c r="M448" s="378"/>
    </row>
    <row r="449" spans="1:13" s="31" customFormat="1">
      <c r="A449" s="33"/>
      <c r="B449" s="225"/>
      <c r="C449" s="230" t="str">
        <f>Products!B2450</f>
        <v>прихована 3D завіса хром/чорн.</v>
      </c>
      <c r="D449" s="194">
        <f>Products!E2450</f>
        <v>890.00000000000011</v>
      </c>
      <c r="E449" s="34"/>
      <c r="F449" s="33"/>
      <c r="G449" s="33"/>
      <c r="H449" s="144"/>
      <c r="I449" s="144"/>
      <c r="J449" s="373"/>
      <c r="K449" s="373"/>
      <c r="L449" s="352"/>
      <c r="M449" s="352"/>
    </row>
    <row r="450" spans="1:13" s="31" customFormat="1">
      <c r="A450" s="33"/>
      <c r="B450" s="457"/>
      <c r="C450" s="458"/>
      <c r="D450" s="198"/>
      <c r="E450" s="34"/>
      <c r="F450" s="33"/>
      <c r="G450" s="33"/>
      <c r="H450" s="144"/>
      <c r="I450" s="144"/>
      <c r="J450" s="373"/>
      <c r="K450" s="373"/>
      <c r="L450" s="352"/>
      <c r="M450" s="352"/>
    </row>
    <row r="451" spans="1:13" s="31" customFormat="1">
      <c r="A451" s="33"/>
      <c r="B451" s="595" t="str">
        <f>Products!B2469</f>
        <v>Дверна коробка Verto-FIT Comfort Inside</v>
      </c>
      <c r="C451" s="596"/>
      <c r="D451" s="596"/>
      <c r="E451" s="596"/>
      <c r="F451" s="294" t="str">
        <f>Products!E2469</f>
        <v>Для Дверних Полотен Внутрішнього відкривання</v>
      </c>
      <c r="G451" s="169"/>
      <c r="H451" s="169"/>
      <c r="I451" s="459"/>
    </row>
    <row r="452" spans="1:13" s="31" customFormat="1">
      <c r="A452" s="33"/>
      <c r="B452" s="589" t="str">
        <f>Products!B2471</f>
        <v>модель</v>
      </c>
      <c r="C452" s="155" t="str">
        <f>Products!C2471</f>
        <v>покриття:</v>
      </c>
      <c r="D452" s="553" t="str">
        <f>Products!D2471</f>
        <v xml:space="preserve">SIMPLEX / VERTO-CELL </v>
      </c>
      <c r="E452" s="539"/>
      <c r="F452" s="553" t="str">
        <f>Products!H2471</f>
        <v>UNI-MAT</v>
      </c>
      <c r="G452" s="539"/>
      <c r="H452" s="553" t="str">
        <f>Products!L2471</f>
        <v>RESIST</v>
      </c>
      <c r="I452" s="539"/>
    </row>
    <row r="453" spans="1:13" s="31" customFormat="1">
      <c r="A453" s="33"/>
      <c r="B453" s="590"/>
      <c r="C453" s="157" t="str">
        <f>Products!C2472</f>
        <v>виконання:</v>
      </c>
      <c r="D453" s="254" t="str">
        <f>Products!D2472</f>
        <v>одностулкове</v>
      </c>
      <c r="E453" s="262"/>
      <c r="F453" s="254" t="str">
        <f>Products!H2472</f>
        <v>одностулкове</v>
      </c>
      <c r="G453" s="262"/>
      <c r="H453" s="254" t="str">
        <f>Products!L2472</f>
        <v>одностулкове</v>
      </c>
      <c r="I453" s="160"/>
    </row>
    <row r="454" spans="1:13" s="31" customFormat="1">
      <c r="A454" s="33"/>
      <c r="B454" s="13" t="str">
        <f>Products!B2473</f>
        <v>A (75 - 95 мм)</v>
      </c>
      <c r="C454" s="178"/>
      <c r="D454" s="255">
        <f>Products!E2473</f>
        <v>3490</v>
      </c>
      <c r="E454" s="256"/>
      <c r="F454" s="255">
        <f>Products!I2473</f>
        <v>4010</v>
      </c>
      <c r="G454" s="256"/>
      <c r="H454" s="255">
        <f>Products!M2473</f>
        <v>4260</v>
      </c>
      <c r="I454" s="182"/>
    </row>
    <row r="455" spans="1:13" s="31" customFormat="1">
      <c r="A455" s="33"/>
      <c r="B455" s="16" t="str">
        <f>Products!B2474</f>
        <v>B (95 - 115 мм)</v>
      </c>
      <c r="C455" s="179"/>
      <c r="D455" s="257">
        <f>Products!E2474</f>
        <v>3680.0000000000005</v>
      </c>
      <c r="E455" s="258"/>
      <c r="F455" s="257">
        <f>Products!I2474</f>
        <v>4240</v>
      </c>
      <c r="G455" s="258"/>
      <c r="H455" s="257">
        <f>Products!M2474</f>
        <v>4480</v>
      </c>
      <c r="I455" s="184"/>
    </row>
    <row r="456" spans="1:13" s="31" customFormat="1">
      <c r="A456" s="33"/>
      <c r="B456" s="16" t="str">
        <f>Products!B2475</f>
        <v>B+ (100 - 120 мм)</v>
      </c>
      <c r="C456" s="179"/>
      <c r="D456" s="257">
        <f>Products!E2475</f>
        <v>3780</v>
      </c>
      <c r="E456" s="258"/>
      <c r="F456" s="257">
        <f>Products!I2475</f>
        <v>4360</v>
      </c>
      <c r="G456" s="258"/>
      <c r="H456" s="257">
        <f>Products!M2475</f>
        <v>4610</v>
      </c>
      <c r="I456" s="184"/>
    </row>
    <row r="457" spans="1:13" s="31" customFormat="1">
      <c r="A457" s="33"/>
      <c r="B457" s="16" t="str">
        <f>Products!B2476</f>
        <v>C (120 - 140 мм)</v>
      </c>
      <c r="C457" s="179"/>
      <c r="D457" s="257">
        <f>Products!E2476</f>
        <v>3870</v>
      </c>
      <c r="E457" s="258"/>
      <c r="F457" s="257">
        <f>Products!I2476</f>
        <v>4450</v>
      </c>
      <c r="G457" s="258"/>
      <c r="H457" s="257">
        <f>Products!M2476</f>
        <v>4710</v>
      </c>
      <c r="I457" s="184"/>
    </row>
    <row r="458" spans="1:13" s="31" customFormat="1">
      <c r="A458" s="33"/>
      <c r="B458" s="16" t="str">
        <f>Products!B2477</f>
        <v>D (140 - 160 мм)</v>
      </c>
      <c r="C458" s="179"/>
      <c r="D458" s="257">
        <f>Products!E2477</f>
        <v>4080</v>
      </c>
      <c r="E458" s="258"/>
      <c r="F458" s="257">
        <f>Products!I2477</f>
        <v>4700</v>
      </c>
      <c r="G458" s="258"/>
      <c r="H458" s="257">
        <f>Products!M2477</f>
        <v>4920</v>
      </c>
      <c r="I458" s="184"/>
    </row>
    <row r="459" spans="1:13" s="31" customFormat="1">
      <c r="A459" s="33"/>
      <c r="B459" s="16" t="str">
        <f>Products!B2478</f>
        <v>E (160 - 180 мм)</v>
      </c>
      <c r="C459" s="179"/>
      <c r="D459" s="257">
        <f>Products!E2478</f>
        <v>4260</v>
      </c>
      <c r="E459" s="258"/>
      <c r="F459" s="257">
        <f>Products!I2478</f>
        <v>4900</v>
      </c>
      <c r="G459" s="258"/>
      <c r="H459" s="257">
        <f>Products!M2478</f>
        <v>5140.0000000000009</v>
      </c>
      <c r="I459" s="184"/>
    </row>
    <row r="460" spans="1:13" s="31" customFormat="1">
      <c r="A460" s="33"/>
      <c r="B460" s="16" t="str">
        <f>Products!B2479</f>
        <v>F (180 - 200 мм)</v>
      </c>
      <c r="C460" s="179"/>
      <c r="D460" s="257">
        <f>Products!E2479</f>
        <v>4470</v>
      </c>
      <c r="E460" s="258"/>
      <c r="F460" s="257">
        <f>Products!I2479</f>
        <v>5130</v>
      </c>
      <c r="G460" s="258"/>
      <c r="H460" s="257">
        <f>Products!M2479</f>
        <v>5390</v>
      </c>
      <c r="I460" s="184"/>
    </row>
    <row r="461" spans="1:13" s="31" customFormat="1">
      <c r="A461" s="33"/>
      <c r="B461" s="16" t="str">
        <f>Products!B2480</f>
        <v>G (200 - 220 мм)</v>
      </c>
      <c r="C461" s="179"/>
      <c r="D461" s="257">
        <f>Products!E2480</f>
        <v>4650</v>
      </c>
      <c r="E461" s="258"/>
      <c r="F461" s="257">
        <f>Products!I2480</f>
        <v>5360</v>
      </c>
      <c r="G461" s="258"/>
      <c r="H461" s="257">
        <f>Products!M2480</f>
        <v>5610</v>
      </c>
      <c r="I461" s="184"/>
    </row>
    <row r="462" spans="1:13" s="31" customFormat="1">
      <c r="A462" s="33"/>
      <c r="B462" s="23" t="str">
        <f>Products!B2481</f>
        <v>H (220 - 240 мм)</v>
      </c>
      <c r="C462" s="177"/>
      <c r="D462" s="259">
        <f>Products!E2481</f>
        <v>4840</v>
      </c>
      <c r="E462" s="260"/>
      <c r="F462" s="259">
        <f>Products!I2481</f>
        <v>5570</v>
      </c>
      <c r="G462" s="260"/>
      <c r="H462" s="259">
        <f>Products!M2481</f>
        <v>5830.0000000000009</v>
      </c>
      <c r="I462" s="186"/>
    </row>
    <row r="463" spans="1:13" s="31" customFormat="1">
      <c r="A463" s="33"/>
      <c r="B463" s="54" t="str">
        <f>Products!B2484</f>
        <v>ПЛАНКИ РЕГУЛЮВАЛЬНІ</v>
      </c>
      <c r="C463" s="55"/>
      <c r="D463" s="593" t="str">
        <f>Products!E2484</f>
        <v>Для Дверних Коробок Verto-FIT Comfort Inside</v>
      </c>
      <c r="E463" s="593"/>
      <c r="F463" s="593"/>
      <c r="G463" s="593"/>
      <c r="H463" s="199"/>
      <c r="I463" s="199"/>
      <c r="J463" s="199"/>
      <c r="K463" s="199"/>
      <c r="L463" s="376"/>
      <c r="M463" s="376"/>
    </row>
    <row r="464" spans="1:13" s="31" customFormat="1">
      <c r="A464" s="33"/>
      <c r="B464" s="13" t="str">
        <f>Products!B2485</f>
        <v>Планка (1 к-т) 80 мм</v>
      </c>
      <c r="C464" s="176"/>
      <c r="D464" s="255">
        <f>Products!E2485</f>
        <v>1190</v>
      </c>
      <c r="E464" s="256"/>
      <c r="F464" s="255">
        <f>Products!I2485</f>
        <v>1310</v>
      </c>
      <c r="G464" s="300"/>
      <c r="H464" s="460">
        <f>Products!M2485</f>
        <v>1390.0000000000002</v>
      </c>
      <c r="I464" s="182"/>
    </row>
    <row r="465" spans="1:13" s="31" customFormat="1">
      <c r="A465" s="33"/>
      <c r="B465" s="16" t="str">
        <f>Products!B2486</f>
        <v>Планка (1 к-т) 160 мм</v>
      </c>
      <c r="C465" s="179"/>
      <c r="D465" s="264">
        <f>Products!E2486</f>
        <v>1980</v>
      </c>
      <c r="E465" s="185"/>
      <c r="F465" s="299">
        <f>Products!I2486</f>
        <v>2250</v>
      </c>
      <c r="G465" s="258"/>
      <c r="H465" s="191">
        <f>Products!M2486</f>
        <v>2390</v>
      </c>
      <c r="I465" s="184"/>
    </row>
    <row r="466" spans="1:13" s="31" customFormat="1">
      <c r="A466" s="33"/>
      <c r="B466" s="23" t="str">
        <f>Products!B2487</f>
        <v>Планка (1 к-т) 200 мм</v>
      </c>
      <c r="C466" s="284"/>
      <c r="D466" s="259">
        <f>Products!E2487</f>
        <v>2360</v>
      </c>
      <c r="E466" s="260"/>
      <c r="F466" s="259">
        <f>Products!I2487</f>
        <v>2690.0000000000005</v>
      </c>
      <c r="G466" s="301"/>
      <c r="H466" s="329">
        <f>Products!M2487</f>
        <v>2870.0000000000005</v>
      </c>
      <c r="I466" s="186"/>
    </row>
    <row r="467" spans="1:13" s="31" customFormat="1">
      <c r="A467" s="33"/>
      <c r="B467" s="33"/>
      <c r="C467" s="34"/>
      <c r="D467" s="231"/>
      <c r="E467" s="231"/>
      <c r="F467" s="232"/>
      <c r="G467" s="232"/>
      <c r="H467" s="233"/>
      <c r="I467" s="233"/>
      <c r="J467" s="377"/>
      <c r="K467" s="377"/>
      <c r="L467" s="378"/>
      <c r="M467" s="378"/>
    </row>
    <row r="468" spans="1:13" s="31" customFormat="1">
      <c r="A468" s="33"/>
      <c r="B468" s="225"/>
      <c r="C468" s="230" t="str">
        <f>Products!B2491</f>
        <v>прихована 3D завіса Cemom хром/чорн.</v>
      </c>
      <c r="D468" s="194">
        <f>Products!E2491</f>
        <v>1500</v>
      </c>
      <c r="E468" s="34"/>
      <c r="F468" s="33"/>
      <c r="G468" s="33"/>
      <c r="H468" s="144"/>
      <c r="I468" s="144"/>
      <c r="J468" s="373"/>
      <c r="K468" s="373"/>
      <c r="L468" s="352"/>
      <c r="M468" s="352"/>
    </row>
    <row r="469" spans="1:13" ht="12.75" customHeight="1">
      <c r="C469" s="34"/>
      <c r="D469" s="34"/>
      <c r="E469" s="34"/>
      <c r="H469" s="144"/>
      <c r="I469" s="144"/>
      <c r="J469" s="373"/>
      <c r="K469" s="373"/>
      <c r="L469" s="352"/>
      <c r="M469" s="352"/>
    </row>
    <row r="470" spans="1:13" s="31" customFormat="1">
      <c r="B470" s="595" t="str">
        <f>Products!B2577</f>
        <v>Плінтуси</v>
      </c>
      <c r="C470" s="596"/>
      <c r="D470" s="596"/>
      <c r="E470" s="596"/>
      <c r="F470" s="169"/>
      <c r="G470" s="169"/>
      <c r="H470" s="169"/>
      <c r="I470" s="169"/>
      <c r="J470" s="342"/>
      <c r="K470" s="342"/>
      <c r="L470" s="354"/>
      <c r="M470" s="355"/>
    </row>
    <row r="471" spans="1:13" s="31" customFormat="1">
      <c r="B471" s="594" t="str">
        <f>Products!B2579</f>
        <v>модель</v>
      </c>
      <c r="C471" s="171" t="str">
        <f>Products!C2579</f>
        <v>покриття:</v>
      </c>
      <c r="D471" s="166" t="str">
        <f>Products!D2579</f>
        <v>SIMPL / V-CELL</v>
      </c>
      <c r="E471" s="166" t="str">
        <f>Products!F2579</f>
        <v>UNI-MAT</v>
      </c>
      <c r="F471" s="166" t="str">
        <f>Products!H2579</f>
        <v>RESIST</v>
      </c>
      <c r="G471" s="166" t="str">
        <f>Products!J2579</f>
        <v>Verto LINE-3D</v>
      </c>
      <c r="H471" s="166" t="str">
        <f>Products!L2579</f>
        <v>ЕКО Шпон / LOFT</v>
      </c>
      <c r="I471" s="47"/>
      <c r="J471" s="339"/>
      <c r="K471" s="607" t="str">
        <f>Products!B2584</f>
        <v>Замовлення на Плінтус приймаються в кількості від 8 шт.</v>
      </c>
      <c r="L471" s="607">
        <f>Products!C2649</f>
        <v>0</v>
      </c>
      <c r="M471" s="607">
        <f>Products!E2649</f>
        <v>1490</v>
      </c>
    </row>
    <row r="472" spans="1:13" s="31" customFormat="1">
      <c r="B472" s="590"/>
      <c r="C472" s="125" t="str">
        <f>Products!C2580</f>
        <v>виконання:</v>
      </c>
      <c r="D472" s="160" t="str">
        <f>Products!D2580</f>
        <v>за 1 шт.</v>
      </c>
      <c r="E472" s="160" t="str">
        <f>Products!F2580</f>
        <v>за 1 шт.</v>
      </c>
      <c r="F472" s="160" t="str">
        <f>Products!H2580</f>
        <v>за 1 шт.</v>
      </c>
      <c r="G472" s="160" t="str">
        <f>Products!J2580</f>
        <v>за 1 шт.</v>
      </c>
      <c r="H472" s="160" t="str">
        <f>Products!L2580</f>
        <v>за 1 шт.</v>
      </c>
      <c r="I472" s="47"/>
      <c r="J472" s="47"/>
      <c r="K472" s="379"/>
      <c r="L472" s="379"/>
      <c r="M472" s="200"/>
    </row>
    <row r="473" spans="1:13" s="31" customFormat="1">
      <c r="B473" s="13" t="str">
        <f>Products!B2581</f>
        <v>Плінтус 60 мм</v>
      </c>
      <c r="C473" s="178"/>
      <c r="D473" s="317">
        <f>Products!E2581</f>
        <v>320</v>
      </c>
      <c r="E473" s="317">
        <f>Products!G2581</f>
        <v>350</v>
      </c>
      <c r="F473" s="317">
        <f>Products!I2581</f>
        <v>410</v>
      </c>
      <c r="G473" s="317">
        <f>Products!K2581</f>
        <v>430.00000000000006</v>
      </c>
      <c r="H473" s="317">
        <f>Products!M2581</f>
        <v>450</v>
      </c>
      <c r="I473" s="29"/>
      <c r="J473" s="29"/>
      <c r="K473" s="29"/>
      <c r="L473" s="379"/>
      <c r="M473" s="200"/>
    </row>
    <row r="474" spans="1:13" s="31" customFormat="1">
      <c r="B474" s="23" t="str">
        <f>Products!B2582</f>
        <v>Плінтус 80 мм</v>
      </c>
      <c r="C474" s="177"/>
      <c r="D474" s="318">
        <f>Products!E2582</f>
        <v>360</v>
      </c>
      <c r="E474" s="318">
        <f>Products!G2582</f>
        <v>430.00000000000006</v>
      </c>
      <c r="F474" s="318">
        <f>Products!I2582</f>
        <v>450</v>
      </c>
      <c r="G474" s="318">
        <f>Products!K2582</f>
        <v>510</v>
      </c>
      <c r="H474" s="318">
        <f>Products!M2582</f>
        <v>570</v>
      </c>
      <c r="I474" s="199"/>
      <c r="J474" s="199"/>
      <c r="K474" s="29"/>
      <c r="L474" s="379"/>
      <c r="M474" s="200"/>
    </row>
    <row r="475" spans="1:13" ht="12.75" customHeight="1">
      <c r="C475" s="34"/>
      <c r="D475" s="34"/>
      <c r="E475" s="34"/>
      <c r="H475" s="144"/>
      <c r="I475" s="144"/>
      <c r="J475" s="373"/>
      <c r="K475" s="373"/>
      <c r="L475" s="352"/>
      <c r="M475" s="352"/>
    </row>
    <row r="476" spans="1:13" ht="12.75" customHeight="1">
      <c r="A476" s="31"/>
      <c r="B476" s="595" t="str">
        <f>TITLE!$C$47</f>
        <v>Фрамуги</v>
      </c>
      <c r="C476" s="596"/>
      <c r="D476" s="596"/>
      <c r="E476" s="596"/>
      <c r="F476" s="169"/>
      <c r="G476" s="169"/>
      <c r="H476" s="169"/>
      <c r="I476" s="169"/>
      <c r="J476" s="342"/>
      <c r="K476" s="342"/>
      <c r="L476" s="354"/>
      <c r="M476" s="355"/>
    </row>
    <row r="477" spans="1:13" s="144" customFormat="1" ht="24.75" customHeight="1">
      <c r="A477" s="31"/>
      <c r="B477" s="594" t="str">
        <f>Products!B2637</f>
        <v>модель</v>
      </c>
      <c r="C477" s="171" t="str">
        <f>Products!C2637</f>
        <v>покриття:</v>
      </c>
      <c r="D477" s="166" t="str">
        <f>Products!D2637</f>
        <v>SIMPL / V-CELL / V-C Plus</v>
      </c>
      <c r="E477" s="166" t="str">
        <f>Products!F2637</f>
        <v>UNI-MAT</v>
      </c>
      <c r="F477" s="166" t="str">
        <f>Products!H2637</f>
        <v>RESIST</v>
      </c>
      <c r="G477" s="166" t="str">
        <f>Products!J2637</f>
        <v>Verto LINE-3D</v>
      </c>
      <c r="H477" s="166" t="str">
        <f>Products!L2637</f>
        <v>ЕКО Шпон / LOFT</v>
      </c>
      <c r="I477" s="47"/>
      <c r="J477" s="47"/>
      <c r="K477" s="380" t="str">
        <f>Products!B2655</f>
        <v>Вид скління:</v>
      </c>
      <c r="L477" s="341" t="str">
        <f>Products!C2655</f>
        <v>Фільонка</v>
      </c>
      <c r="M477" s="357">
        <f>Products!E2655</f>
        <v>1220</v>
      </c>
    </row>
    <row r="478" spans="1:13">
      <c r="A478" s="31"/>
      <c r="B478" s="590"/>
      <c r="C478" s="125" t="str">
        <f>Products!C2638</f>
        <v>виконання:</v>
      </c>
      <c r="D478" s="160" t="str">
        <f>Products!D2638</f>
        <v>за 1 пг.м</v>
      </c>
      <c r="E478" s="160" t="str">
        <f>Products!F2638</f>
        <v>за 1 пг.м</v>
      </c>
      <c r="F478" s="160" t="str">
        <f>Products!H2638</f>
        <v>за 1 пг.м</v>
      </c>
      <c r="G478" s="160" t="str">
        <f>Products!J2638</f>
        <v>за 1 пг.м</v>
      </c>
      <c r="H478" s="160" t="str">
        <f>Products!L2638</f>
        <v>за 1 пг.м</v>
      </c>
      <c r="I478" s="47"/>
      <c r="J478" s="47"/>
      <c r="K478" s="180"/>
      <c r="L478" s="341" t="str">
        <f>Products!C2656</f>
        <v>Сатин</v>
      </c>
      <c r="M478" s="348">
        <f>Products!E2656</f>
        <v>1120</v>
      </c>
    </row>
    <row r="479" spans="1:13" s="144" customFormat="1">
      <c r="B479" s="54" t="str">
        <f>Products!B2639</f>
        <v>ФРАМУГА STANDART</v>
      </c>
      <c r="C479" s="55"/>
      <c r="D479" s="29"/>
      <c r="E479" s="29"/>
      <c r="F479" s="29"/>
      <c r="G479" s="29"/>
      <c r="H479" s="29"/>
      <c r="I479" s="29"/>
      <c r="J479" s="29"/>
      <c r="K479" s="180"/>
      <c r="L479" s="341" t="str">
        <f>Products!C2657</f>
        <v>Графіт</v>
      </c>
      <c r="M479" s="348">
        <f>Products!E2657</f>
        <v>1530</v>
      </c>
    </row>
    <row r="480" spans="1:13">
      <c r="A480" s="31"/>
      <c r="B480" s="49" t="str">
        <f>Products!B2640</f>
        <v>Фрамуга дерево 80 мм</v>
      </c>
      <c r="C480" s="50"/>
      <c r="D480" s="197">
        <f>Products!E2640</f>
        <v>750</v>
      </c>
      <c r="E480" s="197">
        <f>Products!G2640</f>
        <v>840</v>
      </c>
      <c r="F480" s="197">
        <f>Products!I2640</f>
        <v>880</v>
      </c>
      <c r="G480" s="197">
        <f>Products!K2640</f>
        <v>960</v>
      </c>
      <c r="H480" s="197">
        <f>Products!M2640</f>
        <v>1060</v>
      </c>
      <c r="I480" s="199"/>
      <c r="J480" s="199"/>
      <c r="K480" s="180"/>
      <c r="L480" s="341" t="str">
        <f>Products!C2658</f>
        <v>Бронза</v>
      </c>
      <c r="M480" s="348">
        <f>Products!E2658</f>
        <v>1530</v>
      </c>
    </row>
    <row r="481" spans="1:13">
      <c r="A481" s="144"/>
      <c r="B481" s="54" t="str">
        <f>Products!B2641</f>
        <v>ФРАМУГА VERTO-FIT</v>
      </c>
      <c r="C481" s="55"/>
      <c r="D481" s="198"/>
      <c r="E481" s="198"/>
      <c r="F481" s="198"/>
      <c r="G481" s="198"/>
      <c r="H481" s="198"/>
      <c r="I481" s="199"/>
      <c r="J481" s="199"/>
      <c r="K481" s="180"/>
      <c r="L481" s="341" t="str">
        <f>Products!C2659</f>
        <v>Малюнок</v>
      </c>
      <c r="M481" s="348">
        <f>Products!E2659</f>
        <v>1360.0000000000002</v>
      </c>
    </row>
    <row r="482" spans="1:13">
      <c r="A482" s="31"/>
      <c r="B482" s="13" t="str">
        <f>Products!B2642</f>
        <v>A (75 - 95 мм)</v>
      </c>
      <c r="C482" s="178"/>
      <c r="D482" s="183">
        <f>Products!E2642</f>
        <v>980</v>
      </c>
      <c r="E482" s="183">
        <f>Products!G2642</f>
        <v>1130</v>
      </c>
      <c r="F482" s="183">
        <f>Products!I2642</f>
        <v>1190</v>
      </c>
      <c r="G482" s="183">
        <f>Products!K2642</f>
        <v>1260</v>
      </c>
      <c r="H482" s="183">
        <f>Products!M2642</f>
        <v>1350</v>
      </c>
      <c r="I482" s="200"/>
      <c r="J482" s="200"/>
      <c r="K482" s="180"/>
      <c r="L482" s="341" t="str">
        <f>Products!C2660</f>
        <v>Дзеркало</v>
      </c>
      <c r="M482" s="353">
        <f>Products!E2660</f>
        <v>1640</v>
      </c>
    </row>
    <row r="483" spans="1:13">
      <c r="A483" s="31"/>
      <c r="B483" s="16" t="str">
        <f>Products!B2643</f>
        <v>B (95 - 115 мм)</v>
      </c>
      <c r="C483" s="179"/>
      <c r="D483" s="185">
        <f>Products!E2643</f>
        <v>1060</v>
      </c>
      <c r="E483" s="185">
        <f>Products!G2643</f>
        <v>1220</v>
      </c>
      <c r="F483" s="185">
        <f>Products!I2643</f>
        <v>1310</v>
      </c>
      <c r="G483" s="185">
        <f>Products!K2643</f>
        <v>1370</v>
      </c>
      <c r="H483" s="185">
        <f>Products!M2643</f>
        <v>1480.0000000000002</v>
      </c>
      <c r="I483" s="200"/>
      <c r="J483" s="200"/>
    </row>
    <row r="484" spans="1:13">
      <c r="A484" s="31"/>
      <c r="B484" s="16" t="str">
        <f>Products!B2644</f>
        <v>B+ (100 - 120 мм)</v>
      </c>
      <c r="C484" s="179"/>
      <c r="D484" s="185">
        <f>Products!E2644</f>
        <v>1100</v>
      </c>
      <c r="E484" s="185">
        <f>Products!G2644</f>
        <v>1270.0000000000002</v>
      </c>
      <c r="F484" s="185">
        <f>Products!I2644</f>
        <v>1360.0000000000002</v>
      </c>
      <c r="G484" s="185">
        <f>Products!K2644</f>
        <v>1430</v>
      </c>
      <c r="H484" s="185">
        <f>Products!M2644</f>
        <v>1550</v>
      </c>
      <c r="I484" s="200"/>
      <c r="J484" s="200"/>
    </row>
    <row r="485" spans="1:13">
      <c r="A485" s="31"/>
      <c r="B485" s="16" t="str">
        <f>Products!B2645</f>
        <v>C (120 - 140 мм)</v>
      </c>
      <c r="C485" s="179"/>
      <c r="D485" s="185">
        <f>Products!E2645</f>
        <v>1150</v>
      </c>
      <c r="E485" s="185">
        <f>Products!G2645</f>
        <v>1320</v>
      </c>
      <c r="F485" s="185">
        <f>Products!I2645</f>
        <v>1410</v>
      </c>
      <c r="G485" s="185">
        <f>Products!K2645</f>
        <v>1490</v>
      </c>
      <c r="H485" s="185">
        <f>Products!M2645</f>
        <v>1590</v>
      </c>
      <c r="I485" s="200"/>
      <c r="J485" s="200"/>
      <c r="K485" s="29"/>
      <c r="L485" s="379"/>
      <c r="M485" s="200"/>
    </row>
    <row r="486" spans="1:13">
      <c r="A486" s="31"/>
      <c r="B486" s="16" t="str">
        <f>Products!B2646</f>
        <v>D (140 - 160 мм)</v>
      </c>
      <c r="C486" s="179"/>
      <c r="D486" s="185">
        <f>Products!E2646</f>
        <v>1230</v>
      </c>
      <c r="E486" s="185">
        <f>Products!G2646</f>
        <v>1410</v>
      </c>
      <c r="F486" s="185">
        <f>Products!I2646</f>
        <v>1530</v>
      </c>
      <c r="G486" s="185">
        <f>Products!K2646</f>
        <v>1610</v>
      </c>
      <c r="H486" s="185">
        <f>Products!M2646</f>
        <v>1730</v>
      </c>
      <c r="I486" s="200"/>
      <c r="J486" s="200"/>
      <c r="K486" s="352"/>
      <c r="L486" s="352"/>
      <c r="M486" s="352"/>
    </row>
    <row r="487" spans="1:13">
      <c r="A487" s="31"/>
      <c r="B487" s="16" t="str">
        <f>Products!B2647</f>
        <v>E (160 - 180 мм)</v>
      </c>
      <c r="C487" s="179"/>
      <c r="D487" s="185">
        <f>Products!E2647</f>
        <v>1320</v>
      </c>
      <c r="E487" s="185">
        <f>Products!G2647</f>
        <v>1530</v>
      </c>
      <c r="F487" s="185">
        <f>Products!I2647</f>
        <v>1650</v>
      </c>
      <c r="G487" s="185">
        <f>Products!K2647</f>
        <v>1720.0000000000002</v>
      </c>
      <c r="H487" s="185">
        <f>Products!M2647</f>
        <v>1850</v>
      </c>
      <c r="I487" s="200"/>
      <c r="J487" s="200"/>
      <c r="K487" s="29"/>
      <c r="L487" s="362"/>
      <c r="M487" s="362"/>
    </row>
    <row r="488" spans="1:13">
      <c r="A488" s="31"/>
      <c r="B488" s="16" t="str">
        <f>Products!B2648</f>
        <v>F (180 - 200 мм)</v>
      </c>
      <c r="C488" s="179"/>
      <c r="D488" s="185">
        <f>Products!E2648</f>
        <v>1400</v>
      </c>
      <c r="E488" s="185">
        <f>Products!G2648</f>
        <v>1630.0000000000002</v>
      </c>
      <c r="F488" s="185">
        <f>Products!I2648</f>
        <v>1750.0000000000002</v>
      </c>
      <c r="G488" s="185">
        <f>Products!K2648</f>
        <v>1830</v>
      </c>
      <c r="H488" s="185">
        <f>Products!M2648</f>
        <v>1980</v>
      </c>
      <c r="I488" s="200"/>
      <c r="J488" s="200"/>
      <c r="K488" s="29"/>
      <c r="L488" s="362"/>
      <c r="M488" s="362"/>
    </row>
    <row r="489" spans="1:13">
      <c r="A489" s="31"/>
      <c r="B489" s="16" t="str">
        <f>Products!B2649</f>
        <v>G (200 - 220 мм)</v>
      </c>
      <c r="C489" s="179"/>
      <c r="D489" s="185">
        <f>Products!E2649</f>
        <v>1490</v>
      </c>
      <c r="E489" s="185">
        <f>Products!G2649</f>
        <v>1720.0000000000002</v>
      </c>
      <c r="F489" s="185">
        <f>Products!I2649</f>
        <v>1880</v>
      </c>
      <c r="G489" s="185">
        <f>Products!K2649</f>
        <v>1940</v>
      </c>
      <c r="H489" s="185">
        <f>Products!M2649</f>
        <v>2100</v>
      </c>
      <c r="I489" s="200"/>
      <c r="J489" s="200"/>
      <c r="K489" s="352"/>
      <c r="L489" s="362"/>
      <c r="M489" s="362"/>
    </row>
    <row r="490" spans="1:13">
      <c r="A490" s="31"/>
      <c r="B490" s="16" t="str">
        <f>Products!B2650</f>
        <v>H (220 - 240 мм)</v>
      </c>
      <c r="C490" s="179"/>
      <c r="D490" s="185">
        <f>Products!E2650</f>
        <v>1570.0000000000002</v>
      </c>
      <c r="E490" s="185">
        <f>Products!G2650</f>
        <v>1810.0000000000002</v>
      </c>
      <c r="F490" s="185">
        <f>Products!I2650</f>
        <v>1980</v>
      </c>
      <c r="G490" s="185">
        <f>Products!K2650</f>
        <v>2060</v>
      </c>
      <c r="H490" s="185">
        <f>Products!M2650</f>
        <v>2240</v>
      </c>
      <c r="I490" s="200"/>
      <c r="J490" s="200"/>
      <c r="K490" s="352"/>
      <c r="L490" s="362"/>
      <c r="M490" s="362"/>
    </row>
    <row r="491" spans="1:13" s="31" customFormat="1">
      <c r="B491" s="23" t="str">
        <f>Products!B2651</f>
        <v>I (240 - 260 мм)</v>
      </c>
      <c r="C491" s="177"/>
      <c r="D491" s="187">
        <f>Products!E2651</f>
        <v>1660.0000000000002</v>
      </c>
      <c r="E491" s="187">
        <f>Products!G2651</f>
        <v>1910</v>
      </c>
      <c r="F491" s="187">
        <f>Products!I2651</f>
        <v>2090</v>
      </c>
      <c r="G491" s="187">
        <f>Products!K2651</f>
        <v>2170</v>
      </c>
      <c r="H491" s="187">
        <f>Products!M2651</f>
        <v>2361</v>
      </c>
      <c r="I491" s="200"/>
      <c r="J491" s="200"/>
      <c r="K491" s="29"/>
      <c r="L491" s="362"/>
      <c r="M491" s="362"/>
    </row>
    <row r="492" spans="1:13" s="31" customFormat="1">
      <c r="B492" s="174"/>
      <c r="C492" s="314"/>
      <c r="D492" s="198"/>
      <c r="E492" s="198"/>
      <c r="F492" s="198"/>
      <c r="G492" s="198"/>
      <c r="H492" s="200"/>
      <c r="I492" s="200"/>
      <c r="J492" s="200"/>
      <c r="K492" s="29"/>
      <c r="L492" s="362"/>
      <c r="M492" s="362"/>
    </row>
    <row r="493" spans="1:13">
      <c r="A493" s="31"/>
      <c r="B493" s="595" t="str">
        <f>Products!B2711</f>
        <v>Дверні Ручки</v>
      </c>
      <c r="C493" s="596"/>
      <c r="D493" s="596"/>
      <c r="E493" s="596"/>
      <c r="F493" s="169"/>
      <c r="G493" s="169"/>
      <c r="H493" s="169"/>
      <c r="I493" s="169"/>
      <c r="J493" s="342"/>
      <c r="K493" s="342"/>
      <c r="L493" s="354"/>
      <c r="M493" s="355"/>
    </row>
    <row r="494" spans="1:13">
      <c r="A494" s="31"/>
      <c r="B494" s="61" t="str">
        <f>Products!B2713</f>
        <v>модель</v>
      </c>
      <c r="C494" s="12"/>
      <c r="D494" s="12" t="str">
        <f>Products!D2713</f>
        <v>див. каталог</v>
      </c>
      <c r="E494" s="59"/>
      <c r="F494" s="59"/>
      <c r="G494" s="47"/>
      <c r="H494" s="47"/>
      <c r="I494" s="47"/>
      <c r="J494" s="47"/>
      <c r="K494" s="47"/>
      <c r="L494" s="352"/>
      <c r="M494" s="352"/>
    </row>
    <row r="495" spans="1:13">
      <c r="A495" s="31"/>
      <c r="B495" s="13" t="str">
        <f>Products!B2714</f>
        <v>Ручка VERONA</v>
      </c>
      <c r="C495" s="97"/>
      <c r="D495" s="183">
        <f>Products!E2714</f>
        <v>3200.0000000000005</v>
      </c>
      <c r="E495" s="59"/>
      <c r="F495" s="59"/>
      <c r="G495" s="200"/>
      <c r="H495" s="59"/>
      <c r="I495" s="59"/>
      <c r="J495" s="59"/>
      <c r="K495" s="29"/>
      <c r="L495" s="362"/>
      <c r="M495" s="363"/>
    </row>
    <row r="496" spans="1:13">
      <c r="A496" s="31"/>
      <c r="B496" s="16" t="str">
        <f>Products!B2715</f>
        <v>Ручка MILANO</v>
      </c>
      <c r="C496" s="63"/>
      <c r="D496" s="185">
        <f>Products!E2715</f>
        <v>3200.0000000000005</v>
      </c>
      <c r="E496" s="59"/>
      <c r="F496" s="59"/>
      <c r="G496" s="200"/>
      <c r="H496" s="59"/>
      <c r="I496" s="59"/>
      <c r="J496" s="59"/>
      <c r="K496" s="29"/>
      <c r="L496" s="362"/>
      <c r="M496" s="362"/>
    </row>
    <row r="497" spans="1:13">
      <c r="A497" s="31"/>
      <c r="B497" s="16" t="str">
        <f>Products!B2716</f>
        <v>Ручка HANDY</v>
      </c>
      <c r="C497" s="63"/>
      <c r="D497" s="185">
        <f>Products!E2716</f>
        <v>1560</v>
      </c>
      <c r="E497" s="59"/>
      <c r="F497" s="59"/>
      <c r="G497" s="200"/>
      <c r="H497" s="59"/>
      <c r="I497" s="59"/>
      <c r="J497" s="59"/>
      <c r="K497" s="29"/>
      <c r="L497" s="362"/>
      <c r="M497" s="362"/>
    </row>
    <row r="498" spans="1:13">
      <c r="A498" s="31"/>
      <c r="B498" s="16" t="str">
        <f>Products!B2717</f>
        <v>Ручка PRIUS</v>
      </c>
      <c r="C498" s="63"/>
      <c r="D498" s="185">
        <f>Products!E2717</f>
        <v>1560</v>
      </c>
      <c r="E498" s="59"/>
      <c r="F498" s="59"/>
      <c r="G498" s="200"/>
      <c r="H498" s="59"/>
      <c r="I498" s="59"/>
      <c r="J498" s="59"/>
      <c r="K498" s="29"/>
      <c r="L498" s="362"/>
      <c r="M498" s="362"/>
    </row>
    <row r="499" spans="1:13" s="31" customFormat="1">
      <c r="B499" s="23" t="str">
        <f>Products!B2718</f>
        <v>Ручка OFFICE</v>
      </c>
      <c r="C499" s="67"/>
      <c r="D499" s="187">
        <f>Products!E2718</f>
        <v>750</v>
      </c>
      <c r="E499" s="59"/>
      <c r="F499" s="59"/>
      <c r="G499" s="200"/>
      <c r="H499" s="59"/>
      <c r="I499" s="59"/>
      <c r="J499" s="59"/>
      <c r="K499" s="29"/>
      <c r="L499" s="362"/>
      <c r="M499" s="362"/>
    </row>
    <row r="500" spans="1:13">
      <c r="C500" s="34"/>
      <c r="D500" s="34"/>
      <c r="E500" s="59"/>
      <c r="F500" s="59"/>
      <c r="J500" s="352"/>
      <c r="K500" s="352"/>
      <c r="L500" s="352"/>
      <c r="M500" s="352"/>
    </row>
    <row r="501" spans="1:13">
      <c r="A501" s="31"/>
      <c r="B501" s="595" t="str">
        <f>TITLE!$C$51</f>
        <v>Інші Аксесуари</v>
      </c>
      <c r="C501" s="596"/>
      <c r="D501" s="596"/>
      <c r="E501" s="596"/>
      <c r="F501" s="169"/>
      <c r="G501" s="169"/>
      <c r="H501" s="169"/>
      <c r="I501" s="169"/>
      <c r="J501" s="342"/>
      <c r="K501" s="342"/>
      <c r="L501" s="354"/>
      <c r="M501" s="355"/>
    </row>
    <row r="502" spans="1:13">
      <c r="A502" s="31"/>
      <c r="B502" s="61" t="str">
        <f>Products!B2771</f>
        <v>модель</v>
      </c>
      <c r="C502" s="12"/>
      <c r="D502" s="12" t="str">
        <f>Products!D2771</f>
        <v>Ціна</v>
      </c>
      <c r="E502" s="47"/>
      <c r="F502" s="47"/>
      <c r="G502" s="47"/>
      <c r="H502" s="47"/>
      <c r="I502" s="47"/>
      <c r="J502" s="47"/>
      <c r="K502" s="47"/>
      <c r="L502" s="352"/>
      <c r="M502" s="352"/>
    </row>
    <row r="503" spans="1:13">
      <c r="A503" s="31"/>
      <c r="B503" s="13" t="str">
        <f>Products!B2772</f>
        <v>Замок STANDARD</v>
      </c>
      <c r="C503" s="97"/>
      <c r="D503" s="183">
        <f>Products!E2772</f>
        <v>400.00000000000006</v>
      </c>
      <c r="E503" s="29"/>
      <c r="F503" s="29"/>
      <c r="G503" s="29"/>
      <c r="H503" s="59"/>
      <c r="I503" s="59"/>
      <c r="J503" s="59"/>
      <c r="K503" s="29"/>
      <c r="L503" s="362"/>
      <c r="M503" s="363"/>
    </row>
    <row r="504" spans="1:13">
      <c r="A504" s="31"/>
      <c r="B504" s="16" t="str">
        <f>Products!B2773</f>
        <v>завіса штирьова</v>
      </c>
      <c r="C504" s="63"/>
      <c r="D504" s="185">
        <f>Products!E2773</f>
        <v>120</v>
      </c>
      <c r="E504" s="29"/>
      <c r="F504" s="59"/>
      <c r="G504" s="29"/>
      <c r="H504" s="59"/>
      <c r="I504" s="59"/>
      <c r="J504" s="59"/>
      <c r="K504" s="29"/>
      <c r="L504" s="362"/>
      <c r="M504" s="362"/>
    </row>
    <row r="505" spans="1:13">
      <c r="A505" s="31"/>
      <c r="B505" s="16"/>
      <c r="C505" s="63"/>
      <c r="D505" s="185"/>
      <c r="E505" s="29"/>
      <c r="F505" s="59"/>
      <c r="G505" s="29"/>
      <c r="H505" s="59"/>
      <c r="I505" s="59"/>
      <c r="J505" s="59"/>
      <c r="K505" s="29"/>
      <c r="L505" s="362"/>
      <c r="M505" s="362"/>
    </row>
    <row r="506" spans="1:13">
      <c r="A506" s="31"/>
      <c r="B506" s="16" t="str">
        <f>Products!B2774</f>
        <v>відповідна планка</v>
      </c>
      <c r="C506" s="63"/>
      <c r="D506" s="185">
        <f>Products!E2774</f>
        <v>120</v>
      </c>
      <c r="E506" s="59"/>
      <c r="F506" s="59"/>
      <c r="G506" s="29"/>
      <c r="H506" s="59"/>
      <c r="I506" s="59"/>
      <c r="J506" s="59"/>
      <c r="K506" s="29"/>
      <c r="L506" s="362"/>
      <c r="M506" s="362"/>
    </row>
    <row r="507" spans="1:13">
      <c r="A507" s="31"/>
      <c r="B507" s="16"/>
      <c r="C507" s="63"/>
      <c r="D507" s="185"/>
      <c r="E507" s="29"/>
      <c r="F507" s="59"/>
      <c r="G507" s="29"/>
      <c r="H507" s="59"/>
      <c r="I507" s="59"/>
      <c r="J507" s="59"/>
      <c r="K507" s="29"/>
      <c r="L507" s="362"/>
      <c r="M507" s="362"/>
    </row>
    <row r="508" spans="1:13">
      <c r="A508" s="31"/>
      <c r="B508" s="23" t="str">
        <f>Products!B2775</f>
        <v>Шпінгалет</v>
      </c>
      <c r="C508" s="67"/>
      <c r="D508" s="187">
        <f>Products!E2775</f>
        <v>200.00000000000003</v>
      </c>
      <c r="E508" s="29"/>
      <c r="F508" s="59"/>
      <c r="G508" s="29"/>
      <c r="H508" s="59"/>
      <c r="I508" s="59"/>
      <c r="J508" s="59"/>
      <c r="K508" s="29"/>
      <c r="L508" s="362"/>
      <c r="M508" s="362"/>
    </row>
    <row r="509" spans="1:13">
      <c r="C509" s="34"/>
      <c r="D509" s="34"/>
      <c r="E509" s="34"/>
    </row>
    <row r="510" spans="1:13">
      <c r="C510" s="34"/>
      <c r="D510" s="34"/>
      <c r="E510" s="34"/>
    </row>
    <row r="511" spans="1:13">
      <c r="C511" s="34"/>
      <c r="D511" s="34"/>
      <c r="E511" s="34"/>
    </row>
    <row r="512" spans="1:13">
      <c r="C512" s="34"/>
      <c r="D512" s="34"/>
    </row>
  </sheetData>
  <sheetProtection password="DB76" sheet="1" objects="1" scenarios="1" selectLockedCells="1" selectUnlockedCells="1"/>
  <mergeCells count="109">
    <mergeCell ref="D3:G3"/>
    <mergeCell ref="B313:B315"/>
    <mergeCell ref="B312:E312"/>
    <mergeCell ref="B144:E144"/>
    <mergeCell ref="B226:E226"/>
    <mergeCell ref="B241:E241"/>
    <mergeCell ref="B26:B28"/>
    <mergeCell ref="B40:E40"/>
    <mergeCell ref="D4:G4"/>
    <mergeCell ref="B6:C6"/>
    <mergeCell ref="B9:B11"/>
    <mergeCell ref="D6:M6"/>
    <mergeCell ref="B8:E8"/>
    <mergeCell ref="B25:E25"/>
    <mergeCell ref="B172:B174"/>
    <mergeCell ref="B158:B160"/>
    <mergeCell ref="B56:E56"/>
    <mergeCell ref="B300:B302"/>
    <mergeCell ref="B285:E285"/>
    <mergeCell ref="B41:B43"/>
    <mergeCell ref="B213:B215"/>
    <mergeCell ref="B57:B59"/>
    <mergeCell ref="K471:M471"/>
    <mergeCell ref="L416:M416"/>
    <mergeCell ref="L432:M432"/>
    <mergeCell ref="B431:E431"/>
    <mergeCell ref="B432:B433"/>
    <mergeCell ref="D432:E432"/>
    <mergeCell ref="F432:G432"/>
    <mergeCell ref="H432:I432"/>
    <mergeCell ref="B198:E198"/>
    <mergeCell ref="J432:K432"/>
    <mergeCell ref="L357:M357"/>
    <mergeCell ref="B357:E357"/>
    <mergeCell ref="B326:B328"/>
    <mergeCell ref="B337:E337"/>
    <mergeCell ref="B365:E365"/>
    <mergeCell ref="B371:B372"/>
    <mergeCell ref="B325:E325"/>
    <mergeCell ref="D300:F300"/>
    <mergeCell ref="D371:E371"/>
    <mergeCell ref="B272:B274"/>
    <mergeCell ref="B358:B360"/>
    <mergeCell ref="B347:E347"/>
    <mergeCell ref="D301:F301"/>
    <mergeCell ref="H452:I452"/>
    <mergeCell ref="B501:E501"/>
    <mergeCell ref="B476:E476"/>
    <mergeCell ref="D396:E396"/>
    <mergeCell ref="B396:B397"/>
    <mergeCell ref="B395:E395"/>
    <mergeCell ref="B477:B478"/>
    <mergeCell ref="B493:E493"/>
    <mergeCell ref="B416:B417"/>
    <mergeCell ref="D416:E416"/>
    <mergeCell ref="D444:G444"/>
    <mergeCell ref="D408:G408"/>
    <mergeCell ref="B470:E470"/>
    <mergeCell ref="B471:B472"/>
    <mergeCell ref="F416:G416"/>
    <mergeCell ref="B415:E415"/>
    <mergeCell ref="B451:E451"/>
    <mergeCell ref="B452:B453"/>
    <mergeCell ref="B71:E71"/>
    <mergeCell ref="B72:B74"/>
    <mergeCell ref="B271:E271"/>
    <mergeCell ref="B199:B201"/>
    <mergeCell ref="B212:E212"/>
    <mergeCell ref="B157:E157"/>
    <mergeCell ref="B227:B229"/>
    <mergeCell ref="B257:B259"/>
    <mergeCell ref="B118:E118"/>
    <mergeCell ref="B119:B121"/>
    <mergeCell ref="B185:B187"/>
    <mergeCell ref="B171:E171"/>
    <mergeCell ref="B184:E184"/>
    <mergeCell ref="B145:B147"/>
    <mergeCell ref="B256:E256"/>
    <mergeCell ref="B85:E85"/>
    <mergeCell ref="B242:B244"/>
    <mergeCell ref="B106:B108"/>
    <mergeCell ref="B93:B95"/>
    <mergeCell ref="B92:E92"/>
    <mergeCell ref="B131:E131"/>
    <mergeCell ref="B132:B134"/>
    <mergeCell ref="B86:B88"/>
    <mergeCell ref="B105:E105"/>
    <mergeCell ref="D463:G463"/>
    <mergeCell ref="B348:B350"/>
    <mergeCell ref="B286:B288"/>
    <mergeCell ref="B338:B340"/>
    <mergeCell ref="L371:M371"/>
    <mergeCell ref="F371:G371"/>
    <mergeCell ref="J371:K371"/>
    <mergeCell ref="L396:M396"/>
    <mergeCell ref="F396:G396"/>
    <mergeCell ref="J396:K396"/>
    <mergeCell ref="H396:I396"/>
    <mergeCell ref="J416:K416"/>
    <mergeCell ref="H416:I416"/>
    <mergeCell ref="H371:I371"/>
    <mergeCell ref="B370:E370"/>
    <mergeCell ref="B366:B367"/>
    <mergeCell ref="B386:E386"/>
    <mergeCell ref="B387:B388"/>
    <mergeCell ref="D387:E387"/>
    <mergeCell ref="B299:E299"/>
    <mergeCell ref="D452:E452"/>
    <mergeCell ref="F452:G452"/>
  </mergeCells>
  <phoneticPr fontId="5" type="noConversion"/>
  <printOptions horizontalCentered="1"/>
  <pageMargins left="0.23622047244094491" right="0.27559055118110237" top="0.27" bottom="0.3" header="0.27559055118110237" footer="0.31496062992125984"/>
  <pageSetup paperSize="9" scale="56" fitToHeight="10" orientation="portrait" r:id="rId1"/>
  <headerFooter alignWithMargins="0"/>
  <rowBreaks count="3" manualBreakCount="3">
    <brk id="70" max="16383" man="1"/>
    <brk id="240" max="16383" man="1"/>
    <brk id="3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41</vt:i4>
      </vt:variant>
    </vt:vector>
  </HeadingPairs>
  <TitlesOfParts>
    <vt:vector size="44" baseType="lpstr">
      <vt:lpstr>TITLE</vt:lpstr>
      <vt:lpstr>Products</vt:lpstr>
      <vt:lpstr>print page</vt:lpstr>
      <vt:lpstr>Door_Dobor</vt:lpstr>
      <vt:lpstr>Door_Dobor_Lada</vt:lpstr>
      <vt:lpstr>Door_Elegant</vt:lpstr>
      <vt:lpstr>Door_Eva</vt:lpstr>
      <vt:lpstr>Door_Geometry</vt:lpstr>
      <vt:lpstr>Door_Glasford</vt:lpstr>
      <vt:lpstr>Door_Gordana</vt:lpstr>
      <vt:lpstr>Door_Idea</vt:lpstr>
      <vt:lpstr>Door_IdeaLoft</vt:lpstr>
      <vt:lpstr>Door_Kupava</vt:lpstr>
      <vt:lpstr>Door_LadaA</vt:lpstr>
      <vt:lpstr>Door_LadaB</vt:lpstr>
      <vt:lpstr>Door_LadaC</vt:lpstr>
      <vt:lpstr>Door_LadaD</vt:lpstr>
      <vt:lpstr>Door_LadaK</vt:lpstr>
      <vt:lpstr>Door_LadaL</vt:lpstr>
      <vt:lpstr>Door_LadaN</vt:lpstr>
      <vt:lpstr>Door_Line</vt:lpstr>
      <vt:lpstr>Door_Lineya</vt:lpstr>
      <vt:lpstr>Door_Lisa</vt:lpstr>
      <vt:lpstr>Door_Nika</vt:lpstr>
      <vt:lpstr>Door_Standard</vt:lpstr>
      <vt:lpstr>Door_Tiana</vt:lpstr>
      <vt:lpstr>DoorHandles</vt:lpstr>
      <vt:lpstr>Frame_Stand</vt:lpstr>
      <vt:lpstr>Frame_VFit</vt:lpstr>
      <vt:lpstr>Frame_VFitComfort</vt:lpstr>
      <vt:lpstr>Frame_VFitPlus</vt:lpstr>
      <vt:lpstr>Framugi</vt:lpstr>
      <vt:lpstr>Furniture</vt:lpstr>
      <vt:lpstr>Inside</vt:lpstr>
      <vt:lpstr>MENU</vt:lpstr>
      <vt:lpstr>Plinths</vt:lpstr>
      <vt:lpstr>vat</vt:lpstr>
      <vt:lpstr>Verto_Slide</vt:lpstr>
      <vt:lpstr>Дверна_коробка_STANDARD___Алюм</vt:lpstr>
      <vt:lpstr>ІДЕЯ_АЛЮМ</vt:lpstr>
      <vt:lpstr>Полотна_збірні__КЛАСІК</vt:lpstr>
      <vt:lpstr>Полотна_збірні__МОДЕНА</vt:lpstr>
      <vt:lpstr>Полотна_збірні__СОХО</vt:lpstr>
      <vt:lpstr>Products!Прованс</vt:lpstr>
    </vt:vector>
  </TitlesOfParts>
  <Company>pgs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enazarenko</cp:lastModifiedBy>
  <cp:lastPrinted>2022-06-20T06:54:42Z</cp:lastPrinted>
  <dcterms:created xsi:type="dcterms:W3CDTF">2011-03-01T10:54:25Z</dcterms:created>
  <dcterms:modified xsi:type="dcterms:W3CDTF">2025-09-17T07:41:02Z</dcterms:modified>
</cp:coreProperties>
</file>