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gpl.dp.ua\DFS-LI\DATA$\FD\05.Отдел Маркетинга Рекламы\Маркетинг\Прайсы и ордеры\Прайси нові\"/>
    </mc:Choice>
  </mc:AlternateContent>
  <bookViews>
    <workbookView xWindow="0" yWindow="0" windowWidth="23040" windowHeight="9072"/>
  </bookViews>
  <sheets>
    <sheet name="TITLE" sheetId="6" r:id="rId1"/>
    <sheet name="Полотна (Door Leafs)" sheetId="5" r:id="rId2"/>
    <sheet name="Коробки та інше (Other)" sheetId="8" r:id="rId3"/>
  </sheets>
  <definedNames>
    <definedName name="Door_Dobor" localSheetId="2">'Коробки та інше (Other)'!#REF!</definedName>
    <definedName name="Door_Dobor">'Полотна (Door Leafs)'!$B$804:$W$828</definedName>
    <definedName name="Door_Dobor_Lada" localSheetId="2">'Коробки та інше (Other)'!#REF!</definedName>
    <definedName name="Door_Dobor_Lada">'Полотна (Door Leafs)'!$B$775:$W$801</definedName>
    <definedName name="Door_Elegant" localSheetId="2">'Коробки та інше (Other)'!#REF!</definedName>
    <definedName name="Door_Elegant">'Полотна (Door Leafs)'!$B$719:$W$746</definedName>
    <definedName name="Door_Eva" localSheetId="2">'Коробки та інше (Other)'!#REF!</definedName>
    <definedName name="Door_Eva">'Полотна (Door Leafs)'!$B$625:$W$655</definedName>
    <definedName name="Door_Geometry" localSheetId="2">'Коробки та інше (Other)'!#REF!</definedName>
    <definedName name="Door_Geometry">'Полотна (Door Leafs)'!$B$68:$W$95</definedName>
    <definedName name="Door_Glasford" localSheetId="2">'Коробки та інше (Other)'!#REF!</definedName>
    <definedName name="Door_Glasford">'Полотна (Door Leafs)'!$B$749:$W$774</definedName>
    <definedName name="Door_Gordana" localSheetId="2">'Коробки та інше (Other)'!#REF!</definedName>
    <definedName name="Door_Gordana">'Полотна (Door Leafs)'!#REF!</definedName>
    <definedName name="Door_Idea" localSheetId="2">'Коробки та інше (Other)'!#REF!</definedName>
    <definedName name="Door_Idea">'Полотна (Door Leafs)'!$B$98:$W$125</definedName>
    <definedName name="Door_IdeaLoft" localSheetId="2">'Коробки та інше (Other)'!#REF!</definedName>
    <definedName name="Door_IdeaLoft">'Полотна (Door Leafs)'!$B$128:$W$157</definedName>
    <definedName name="Door_Kupava" localSheetId="2">'Коробки та інше (Other)'!#REF!</definedName>
    <definedName name="Door_Kupava">'Полотна (Door Leafs)'!$B$39:$W$67</definedName>
    <definedName name="Door_LadaA" localSheetId="2">'Коробки та інше (Other)'!#REF!</definedName>
    <definedName name="Door_LadaA">'Полотна (Door Leafs)'!$B$305:$W$333</definedName>
    <definedName name="Door_LadaB" localSheetId="2">'Коробки та інше (Other)'!#REF!</definedName>
    <definedName name="Door_LadaB">'Полотна (Door Leafs)'!$B$337:$W$366</definedName>
    <definedName name="Door_LadaC" localSheetId="2">'Коробки та інше (Other)'!#REF!</definedName>
    <definedName name="Door_LadaC">'Полотна (Door Leafs)'!$B$369:$W$397</definedName>
    <definedName name="Door_LadaD" localSheetId="2">'Коробки та інше (Other)'!#REF!</definedName>
    <definedName name="Door_LadaD">'Полотна (Door Leafs)'!$B$401:$W$430</definedName>
    <definedName name="Door_LadaK" localSheetId="2">'Коробки та інше (Other)'!#REF!</definedName>
    <definedName name="Door_LadaK">'Полотна (Door Leafs)'!$B$497:$W$525</definedName>
    <definedName name="Door_LadaL" localSheetId="2">'Коробки та інше (Other)'!#REF!</definedName>
    <definedName name="Door_LadaL">'Полотна (Door Leafs)'!$B$561:$W$589</definedName>
    <definedName name="Door_LadaN" localSheetId="2">'Коробки та інше (Other)'!#REF!</definedName>
    <definedName name="Door_LadaN">'Полотна (Door Leafs)'!$B$529:$W$557</definedName>
    <definedName name="Door_Linda" localSheetId="2">'Коробки та інше (Other)'!#REF!</definedName>
    <definedName name="Door_Linda">'Полотна (Door Leafs)'!#REF!</definedName>
    <definedName name="Door_Line" localSheetId="2">'Коробки та інше (Other)'!#REF!</definedName>
    <definedName name="Door_Line">'Полотна (Door Leafs)'!$B$688:$W$715</definedName>
    <definedName name="Door_Lineya" localSheetId="2">'Коробки та інше (Other)'!#REF!</definedName>
    <definedName name="Door_Lineya">'Полотна (Door Leafs)'!$B$657:$W$687</definedName>
    <definedName name="Door_Lisa" localSheetId="2">'Коробки та інше (Other)'!#REF!</definedName>
    <definedName name="Door_Lisa">'Полотна (Door Leafs)'!$B$465:$W$493</definedName>
    <definedName name="Door_Mira" localSheetId="2">'Коробки та інше (Other)'!#REF!</definedName>
    <definedName name="Door_Mira">'Полотна (Door Leafs)'!#REF!</definedName>
    <definedName name="Door_Modern" localSheetId="2">'Коробки та інше (Other)'!#REF!</definedName>
    <definedName name="Door_Modern">'Полотна (Door Leafs)'!#REF!</definedName>
    <definedName name="Door_Nika" localSheetId="2">'Коробки та інше (Other)'!#REF!</definedName>
    <definedName name="Door_Nika">'Полотна (Door Leafs)'!$B$433:$W$460</definedName>
    <definedName name="Door_Pollo" localSheetId="2">'Коробки та інше (Other)'!#REF!</definedName>
    <definedName name="Door_Pollo">'Полотна (Door Leafs)'!#REF!</definedName>
    <definedName name="Door_Ruta" localSheetId="2">'Коробки та інше (Other)'!#REF!</definedName>
    <definedName name="Door_Ruta">'Полотна (Door Leafs)'!#REF!</definedName>
    <definedName name="Door_RutaF" localSheetId="2">'Коробки та інше (Other)'!#REF!</definedName>
    <definedName name="Door_RutaF">'Полотна (Door Leafs)'!#REF!</definedName>
    <definedName name="Door_Standard" localSheetId="2">'Коробки та інше (Other)'!#REF!</definedName>
    <definedName name="Door_Standard">'Полотна (Door Leafs)'!$B$10:$W$37</definedName>
    <definedName name="Door_Tiana" localSheetId="2">'Коробки та інше (Other)'!#REF!</definedName>
    <definedName name="Door_Tiana">'Полотна (Door Leafs)'!$B$593:$W$622</definedName>
    <definedName name="Door_Trend" localSheetId="2">'Коробки та інше (Other)'!#REF!</definedName>
    <definedName name="Door_Trend">'Полотна (Door Leafs)'!#REF!</definedName>
    <definedName name="DoorHandles" localSheetId="2">'Коробки та інше (Other)'!$B$188:$W$196</definedName>
    <definedName name="DoorHandles">'Полотна (Door Leafs)'!#REF!</definedName>
    <definedName name="Frame_Stand" localSheetId="2">'Коробки та інше (Other)'!$B$24:$W$42</definedName>
    <definedName name="Frame_Stand">'Полотна (Door Leafs)'!#REF!</definedName>
    <definedName name="Frame_VFit" localSheetId="2">'Коробки та інше (Other)'!$B$46:$W$68</definedName>
    <definedName name="Frame_VFit">'Полотна (Door Leafs)'!#REF!</definedName>
    <definedName name="Frame_VFitComfort" localSheetId="2">'Коробки та інше (Other)'!$B$93:$W$142</definedName>
    <definedName name="Frame_VFitComfort">'Полотна (Door Leafs)'!#REF!</definedName>
    <definedName name="Frame_VFitPlus" localSheetId="2">'Коробки та інше (Other)'!$B$72:$W$90</definedName>
    <definedName name="Frame_VFitPlus">'Полотна (Door Leafs)'!#REF!</definedName>
    <definedName name="Framugi" localSheetId="2">'Коробки та інше (Other)'!$B$158:$W$184</definedName>
    <definedName name="Framugi">'Полотна (Door Leafs)'!#REF!</definedName>
    <definedName name="Furniture" localSheetId="2">'Коробки та інше (Other)'!$B$200:$W$229</definedName>
    <definedName name="Furniture">'Полотна (Door Leafs)'!$B$837:$W$854</definedName>
    <definedName name="Inside" localSheetId="2">'Коробки та інше (Other)'!$B$119:$AY$142</definedName>
    <definedName name="Inside">'Полотна (Door Leafs)'!#REF!</definedName>
    <definedName name="MENU">TITLE!$A$2</definedName>
    <definedName name="Plinths" localSheetId="2">'Коробки та інше (Other)'!$B$146:$W$154</definedName>
    <definedName name="Plinths">'Полотна (Door Leafs)'!#REF!</definedName>
    <definedName name="vat" localSheetId="2">'Коробки та інше (Other)'!$AC$2:$AC$3</definedName>
    <definedName name="vat">'Полотна (Door Leafs)'!$AC$2:$AC$3</definedName>
    <definedName name="Verto_Slide" localSheetId="2">'Коробки та інше (Other)'!$B$11:$W$20</definedName>
    <definedName name="Verto_Slide">'Полотна (Door Leafs)'!#REF!</definedName>
    <definedName name="Дверна_коробка_STANDARD">'Коробки та інше (Other)'!$B$24:$W$29</definedName>
    <definedName name="Дверна_коробка_STANDARD___Алюм" localSheetId="2">'Коробки та інше (Other)'!#REF!</definedName>
    <definedName name="Дверна_коробка_STANDARD___Алюм">'Полотна (Door Leafs)'!#REF!</definedName>
    <definedName name="Дверна_коробка_Verto_FIT">'Коробки та інше (Other)'!$B$46:$W$59</definedName>
    <definedName name="Дверна_коробка_Verto_FIT_Comfort">'Коробки та інше (Other)'!$B$93:$W$106</definedName>
    <definedName name="Дверна_коробка_Verto_FIT_Inside">'Коробки та інше (Other)'!$B$119:$W$131</definedName>
    <definedName name="Дверна_коробка_Verto_FIT_Plus">'Коробки та інше (Other)'!$B$72:$W$85</definedName>
    <definedName name="Дверні_Ручки">'Коробки та інше (Other)'!$B$188:$W$195</definedName>
    <definedName name="ІДЕЯ_АЛЮМ" localSheetId="2">'Коробки та інше (Other)'!#REF!</definedName>
    <definedName name="ІДЕЯ_АЛЮМ">'Полотна (Door Leafs)'!$B$159:$I$186</definedName>
    <definedName name="Інші_Аксесуари">'Коробки та інше (Other)'!$B$200:$W$206</definedName>
    <definedName name="Плінтуси">'Коробки та інше (Other)'!$B$146:$W$151</definedName>
    <definedName name="Полотна_збірні__PROVENCE" localSheetId="1">'Полотна (Door Leafs)'!$B$276:$AN$300</definedName>
    <definedName name="Полотна_збірні__КЛАСІК" localSheetId="2">'Коробки та інше (Other)'!#REF!</definedName>
    <definedName name="Полотна_збірні__КЛАСІК">'Полотна (Door Leafs)'!$B$247:$W$272</definedName>
    <definedName name="Полотна_збірні__МОДЕНА" localSheetId="2">'Коробки та інше (Other)'!#REF!</definedName>
    <definedName name="Полотна_збірні__МОДЕНА">'Полотна (Door Leafs)'!$B$218:$W$245</definedName>
    <definedName name="Полотна_збірні__СОХО" localSheetId="2">'Коробки та інше (Other)'!#REF!</definedName>
    <definedName name="Полотна_збірні__СОХО">'Полотна (Door Leafs)'!$B$188:$W$216</definedName>
    <definedName name="Прованс" localSheetId="2">'Коробки та інше (Other)'!#REF!</definedName>
    <definedName name="Прованс" localSheetId="1">'Полотна (Door Leafs)'!$B$276:$W$304</definedName>
    <definedName name="Розсувна_система_Verto_SLIDE">'Коробки та інше (Other)'!$B$11:$W$17</definedName>
    <definedName name="Фрамуги">'Коробки та інше (Other)'!$B$158:$W$174</definedName>
  </definedNames>
  <calcPr calcId="162913"/>
</workbook>
</file>

<file path=xl/calcChain.xml><?xml version="1.0" encoding="utf-8"?>
<calcChain xmlns="http://schemas.openxmlformats.org/spreadsheetml/2006/main">
  <c r="D2" i="6" l="1"/>
  <c r="D182" i="5" l="1"/>
  <c r="C182" i="5"/>
  <c r="B2" i="6" l="1"/>
  <c r="J652" i="5"/>
  <c r="K652" i="5"/>
  <c r="P651" i="5"/>
  <c r="J651" i="5"/>
  <c r="K651" i="5"/>
  <c r="E651" i="5"/>
  <c r="D651" i="5"/>
  <c r="P650" i="5"/>
  <c r="Q650" i="5"/>
  <c r="K650" i="5"/>
  <c r="J650" i="5"/>
  <c r="D650" i="5"/>
  <c r="E650" i="5"/>
  <c r="Q649" i="5"/>
  <c r="P649" i="5"/>
  <c r="J649" i="5"/>
  <c r="K649" i="5"/>
  <c r="E649" i="5"/>
  <c r="D649" i="5"/>
  <c r="P648" i="5"/>
  <c r="Q648" i="5"/>
  <c r="K648" i="5"/>
  <c r="J648" i="5"/>
  <c r="D648" i="5"/>
  <c r="E648" i="5"/>
  <c r="J620" i="5"/>
  <c r="K620" i="5"/>
  <c r="D619" i="5"/>
  <c r="E619" i="5"/>
  <c r="P619" i="5"/>
  <c r="J619" i="5"/>
  <c r="K619" i="5"/>
  <c r="D618" i="5"/>
  <c r="E618" i="5"/>
  <c r="P618" i="5"/>
  <c r="Q618" i="5"/>
  <c r="J618" i="5"/>
  <c r="K618" i="5"/>
  <c r="D617" i="5"/>
  <c r="E617" i="5"/>
  <c r="P617" i="5"/>
  <c r="Q617" i="5"/>
  <c r="J617" i="5"/>
  <c r="K617" i="5"/>
  <c r="P616" i="5"/>
  <c r="Q616" i="5"/>
  <c r="J616" i="5"/>
  <c r="K616" i="5"/>
  <c r="D616" i="5"/>
  <c r="E616" i="5"/>
  <c r="J588" i="5"/>
  <c r="K588" i="5"/>
  <c r="D588" i="5"/>
  <c r="E588" i="5"/>
  <c r="P587" i="5"/>
  <c r="J587" i="5"/>
  <c r="K587" i="5"/>
  <c r="E587" i="5"/>
  <c r="D587" i="5"/>
  <c r="P586" i="5"/>
  <c r="Q586" i="5"/>
  <c r="K586" i="5"/>
  <c r="J586" i="5"/>
  <c r="D586" i="5"/>
  <c r="E586" i="5"/>
  <c r="Q585" i="5"/>
  <c r="P585" i="5"/>
  <c r="J585" i="5"/>
  <c r="K585" i="5"/>
  <c r="E585" i="5"/>
  <c r="D585" i="5"/>
  <c r="P584" i="5"/>
  <c r="Q584" i="5"/>
  <c r="K584" i="5"/>
  <c r="J584" i="5"/>
  <c r="D584" i="5"/>
  <c r="E584" i="5"/>
  <c r="J556" i="5"/>
  <c r="K556" i="5"/>
  <c r="E556" i="5"/>
  <c r="D556" i="5"/>
  <c r="P555" i="5"/>
  <c r="K555" i="5"/>
  <c r="J555" i="5"/>
  <c r="E555" i="5"/>
  <c r="D555" i="5"/>
  <c r="Q554" i="5"/>
  <c r="P554" i="5"/>
  <c r="K554" i="5"/>
  <c r="J554" i="5"/>
  <c r="E554" i="5"/>
  <c r="D554" i="5"/>
  <c r="Q553" i="5"/>
  <c r="P553" i="5"/>
  <c r="K553" i="5"/>
  <c r="J553" i="5"/>
  <c r="E553" i="5"/>
  <c r="D553" i="5"/>
  <c r="Q552" i="5"/>
  <c r="P552" i="5"/>
  <c r="K552" i="5"/>
  <c r="J552" i="5"/>
  <c r="E552" i="5"/>
  <c r="D552" i="5"/>
  <c r="D520" i="5"/>
  <c r="E520" i="5"/>
  <c r="J520" i="5"/>
  <c r="K520" i="5"/>
  <c r="P520" i="5"/>
  <c r="Q520" i="5"/>
  <c r="D521" i="5"/>
  <c r="E521" i="5"/>
  <c r="J521" i="5"/>
  <c r="K521" i="5"/>
  <c r="P521" i="5"/>
  <c r="Q521" i="5"/>
  <c r="D522" i="5"/>
  <c r="E522" i="5"/>
  <c r="J522" i="5"/>
  <c r="K522" i="5"/>
  <c r="P522" i="5"/>
  <c r="Q522" i="5"/>
  <c r="D523" i="5"/>
  <c r="E523" i="5"/>
  <c r="J523" i="5"/>
  <c r="K523" i="5"/>
  <c r="P523" i="5"/>
  <c r="D524" i="5"/>
  <c r="E524" i="5"/>
  <c r="J524" i="5"/>
  <c r="K524" i="5"/>
  <c r="J492" i="5"/>
  <c r="K492" i="5"/>
  <c r="P491" i="5"/>
  <c r="J491" i="5"/>
  <c r="K491" i="5"/>
  <c r="D491" i="5"/>
  <c r="E491" i="5"/>
  <c r="P490" i="5"/>
  <c r="Q490" i="5"/>
  <c r="J490" i="5"/>
  <c r="K490" i="5"/>
  <c r="D490" i="5"/>
  <c r="E490" i="5"/>
  <c r="P489" i="5"/>
  <c r="Q489" i="5"/>
  <c r="J489" i="5"/>
  <c r="K489" i="5"/>
  <c r="D489" i="5"/>
  <c r="E489" i="5"/>
  <c r="P488" i="5"/>
  <c r="Q488" i="5"/>
  <c r="J488" i="5"/>
  <c r="K488" i="5"/>
  <c r="D488" i="5"/>
  <c r="E488" i="5"/>
  <c r="J460" i="5"/>
  <c r="K460" i="5"/>
  <c r="P459" i="5"/>
  <c r="J459" i="5"/>
  <c r="K459" i="5"/>
  <c r="E459" i="5"/>
  <c r="D459" i="5"/>
  <c r="P458" i="5"/>
  <c r="Q458" i="5"/>
  <c r="K458" i="5"/>
  <c r="J458" i="5"/>
  <c r="D458" i="5"/>
  <c r="E458" i="5"/>
  <c r="Q457" i="5"/>
  <c r="P457" i="5"/>
  <c r="J457" i="5"/>
  <c r="K457" i="5"/>
  <c r="E457" i="5"/>
  <c r="D457" i="5"/>
  <c r="P456" i="5"/>
  <c r="Q456" i="5"/>
  <c r="K456" i="5"/>
  <c r="J456" i="5"/>
  <c r="D456" i="5"/>
  <c r="E456" i="5"/>
  <c r="J428" i="5"/>
  <c r="K428" i="5"/>
  <c r="P427" i="5"/>
  <c r="J427" i="5"/>
  <c r="K427" i="5"/>
  <c r="E427" i="5"/>
  <c r="D427" i="5"/>
  <c r="P426" i="5"/>
  <c r="Q426" i="5"/>
  <c r="K426" i="5"/>
  <c r="J426" i="5"/>
  <c r="D426" i="5"/>
  <c r="E426" i="5"/>
  <c r="Q425" i="5"/>
  <c r="P425" i="5"/>
  <c r="J425" i="5"/>
  <c r="K425" i="5"/>
  <c r="E425" i="5"/>
  <c r="D425" i="5"/>
  <c r="P424" i="5"/>
  <c r="Q424" i="5"/>
  <c r="K424" i="5"/>
  <c r="J424" i="5"/>
  <c r="D424" i="5"/>
  <c r="E424" i="5"/>
  <c r="J396" i="5"/>
  <c r="K396" i="5"/>
  <c r="P395" i="5"/>
  <c r="J395" i="5"/>
  <c r="K395" i="5"/>
  <c r="Q394" i="5"/>
  <c r="P394" i="5"/>
  <c r="J394" i="5"/>
  <c r="K394" i="5"/>
  <c r="E394" i="5"/>
  <c r="D394" i="5"/>
  <c r="P393" i="5"/>
  <c r="Q393" i="5"/>
  <c r="K393" i="5"/>
  <c r="J393" i="5"/>
  <c r="D393" i="5"/>
  <c r="E393" i="5"/>
  <c r="Q392" i="5"/>
  <c r="P392" i="5"/>
  <c r="J392" i="5"/>
  <c r="K392" i="5"/>
  <c r="E392" i="5"/>
  <c r="D392" i="5"/>
  <c r="J300" i="5"/>
  <c r="K300" i="5"/>
  <c r="P299" i="5"/>
  <c r="J299" i="5"/>
  <c r="K299" i="5"/>
  <c r="D299" i="5"/>
  <c r="E299" i="5"/>
  <c r="P298" i="5"/>
  <c r="Q298" i="5"/>
  <c r="J298" i="5"/>
  <c r="K298" i="5"/>
  <c r="D298" i="5"/>
  <c r="E298" i="5"/>
  <c r="P297" i="5"/>
  <c r="Q297" i="5"/>
  <c r="J297" i="5"/>
  <c r="K297" i="5"/>
  <c r="D297" i="5"/>
  <c r="E297" i="5"/>
  <c r="P296" i="5"/>
  <c r="Q296" i="5"/>
  <c r="J296" i="5"/>
  <c r="K296" i="5"/>
  <c r="D296" i="5"/>
  <c r="E296" i="5"/>
  <c r="J271" i="5"/>
  <c r="K271" i="5"/>
  <c r="P270" i="5"/>
  <c r="J270" i="5"/>
  <c r="K270" i="5"/>
  <c r="D270" i="5"/>
  <c r="E270" i="5"/>
  <c r="P269" i="5"/>
  <c r="Q269" i="5"/>
  <c r="J269" i="5"/>
  <c r="K269" i="5"/>
  <c r="D269" i="5"/>
  <c r="E269" i="5"/>
  <c r="P268" i="5"/>
  <c r="Q268" i="5"/>
  <c r="J268" i="5"/>
  <c r="K268" i="5"/>
  <c r="D268" i="5"/>
  <c r="E268" i="5"/>
  <c r="P267" i="5"/>
  <c r="Q267" i="5"/>
  <c r="J267" i="5"/>
  <c r="K267" i="5"/>
  <c r="D267" i="5"/>
  <c r="E267" i="5"/>
  <c r="J213" i="5"/>
  <c r="K213" i="5"/>
  <c r="P212" i="5"/>
  <c r="J212" i="5"/>
  <c r="K212" i="5"/>
  <c r="D212" i="5"/>
  <c r="E212" i="5"/>
  <c r="P211" i="5"/>
  <c r="Q211" i="5"/>
  <c r="J211" i="5"/>
  <c r="K211" i="5"/>
  <c r="D211" i="5"/>
  <c r="E211" i="5"/>
  <c r="P210" i="5"/>
  <c r="Q210" i="5"/>
  <c r="J210" i="5"/>
  <c r="K210" i="5"/>
  <c r="D210" i="5"/>
  <c r="E210" i="5"/>
  <c r="P209" i="5"/>
  <c r="Q209" i="5"/>
  <c r="J209" i="5"/>
  <c r="K209" i="5"/>
  <c r="D209" i="5"/>
  <c r="E209" i="5"/>
  <c r="P123" i="5"/>
  <c r="Q123" i="5"/>
  <c r="J123" i="5"/>
  <c r="K123" i="5"/>
  <c r="P122" i="5"/>
  <c r="J122" i="5"/>
  <c r="K122" i="5"/>
  <c r="D122" i="5"/>
  <c r="E122" i="5"/>
  <c r="P121" i="5"/>
  <c r="Q121" i="5"/>
  <c r="J121" i="5"/>
  <c r="K121" i="5"/>
  <c r="D121" i="5"/>
  <c r="E121" i="5"/>
  <c r="P120" i="5"/>
  <c r="Q120" i="5"/>
  <c r="J120" i="5"/>
  <c r="K120" i="5"/>
  <c r="D120" i="5"/>
  <c r="E120" i="5"/>
  <c r="P119" i="5"/>
  <c r="Q119" i="5"/>
  <c r="J119" i="5"/>
  <c r="K119" i="5"/>
  <c r="D119" i="5"/>
  <c r="E119" i="5"/>
  <c r="P93" i="5"/>
  <c r="Q93" i="5"/>
  <c r="K93" i="5"/>
  <c r="J93" i="5"/>
  <c r="P92" i="5"/>
  <c r="K92" i="5"/>
  <c r="J92" i="5"/>
  <c r="D92" i="5"/>
  <c r="E92" i="5"/>
  <c r="Q91" i="5"/>
  <c r="P91" i="5"/>
  <c r="J91" i="5"/>
  <c r="K91" i="5"/>
  <c r="E91" i="5"/>
  <c r="D91" i="5"/>
  <c r="P90" i="5"/>
  <c r="Q90" i="5"/>
  <c r="K90" i="5"/>
  <c r="J90" i="5"/>
  <c r="D90" i="5"/>
  <c r="E90" i="5"/>
  <c r="Q89" i="5"/>
  <c r="P89" i="5"/>
  <c r="J89" i="5"/>
  <c r="K89" i="5"/>
  <c r="E89" i="5"/>
  <c r="D89" i="5"/>
  <c r="P63" i="5"/>
  <c r="Q63" i="5"/>
  <c r="J63" i="5"/>
  <c r="K63" i="5"/>
  <c r="P62" i="5"/>
  <c r="J62" i="5"/>
  <c r="K62" i="5"/>
  <c r="D61" i="5"/>
  <c r="E61" i="5"/>
  <c r="P61" i="5"/>
  <c r="Q61" i="5"/>
  <c r="J61" i="5"/>
  <c r="K61" i="5"/>
  <c r="D60" i="5"/>
  <c r="E60" i="5"/>
  <c r="P60" i="5"/>
  <c r="Q60" i="5"/>
  <c r="J60" i="5"/>
  <c r="K60" i="5"/>
  <c r="D59" i="5"/>
  <c r="E59" i="5"/>
  <c r="P59" i="5"/>
  <c r="Q59" i="5"/>
  <c r="J59" i="5"/>
  <c r="K59" i="5"/>
  <c r="AE49" i="8"/>
  <c r="D143" i="5"/>
  <c r="E143" i="5"/>
  <c r="B1" i="8"/>
  <c r="C17" i="6"/>
  <c r="D145" i="5"/>
  <c r="E145" i="5"/>
  <c r="F145" i="5"/>
  <c r="F144" i="5"/>
  <c r="D144" i="5"/>
  <c r="E144" i="5"/>
  <c r="F143" i="5"/>
  <c r="D206" i="8"/>
  <c r="E206" i="8"/>
  <c r="D205" i="8"/>
  <c r="E205" i="8"/>
  <c r="D204" i="8"/>
  <c r="E204" i="8"/>
  <c r="D203" i="8"/>
  <c r="E203" i="8"/>
  <c r="B200" i="8"/>
  <c r="AE195" i="8"/>
  <c r="D195" i="8"/>
  <c r="E195" i="8"/>
  <c r="AE194" i="8"/>
  <c r="D194" i="8"/>
  <c r="E194" i="8"/>
  <c r="AE193" i="8"/>
  <c r="D193" i="8"/>
  <c r="E193" i="8"/>
  <c r="AE192" i="8"/>
  <c r="D192" i="8"/>
  <c r="E192" i="8"/>
  <c r="AE191" i="8"/>
  <c r="D191" i="8"/>
  <c r="E191" i="8"/>
  <c r="AE183" i="8"/>
  <c r="D183" i="8"/>
  <c r="E183" i="8"/>
  <c r="AE182" i="8"/>
  <c r="D182" i="8"/>
  <c r="E182" i="8"/>
  <c r="AE181" i="8"/>
  <c r="D181" i="8"/>
  <c r="E181" i="8"/>
  <c r="AE180" i="8"/>
  <c r="D180" i="8"/>
  <c r="E180" i="8"/>
  <c r="AE179" i="8"/>
  <c r="D179" i="8"/>
  <c r="E179" i="8"/>
  <c r="AE178" i="8"/>
  <c r="D178" i="8"/>
  <c r="E178" i="8"/>
  <c r="AQ174" i="8"/>
  <c r="AO174" i="8"/>
  <c r="AM174" i="8"/>
  <c r="AK174" i="8"/>
  <c r="AI174" i="8"/>
  <c r="L174" i="8"/>
  <c r="M174" i="8"/>
  <c r="J174" i="8"/>
  <c r="K174" i="8"/>
  <c r="H174" i="8"/>
  <c r="I174" i="8"/>
  <c r="F174" i="8"/>
  <c r="G174" i="8"/>
  <c r="D174" i="8"/>
  <c r="E174" i="8"/>
  <c r="AQ173" i="8"/>
  <c r="AO173" i="8"/>
  <c r="AM173" i="8"/>
  <c r="AK173" i="8"/>
  <c r="AI173" i="8"/>
  <c r="L173" i="8"/>
  <c r="M173" i="8"/>
  <c r="J173" i="8"/>
  <c r="K173" i="8"/>
  <c r="H173" i="8"/>
  <c r="I173" i="8"/>
  <c r="F173" i="8"/>
  <c r="G173" i="8"/>
  <c r="D173" i="8"/>
  <c r="E173" i="8"/>
  <c r="AQ172" i="8"/>
  <c r="AO172" i="8"/>
  <c r="AM172" i="8"/>
  <c r="AK172" i="8"/>
  <c r="AI172" i="8"/>
  <c r="L172" i="8"/>
  <c r="M172" i="8"/>
  <c r="J172" i="8"/>
  <c r="K172" i="8"/>
  <c r="H172" i="8"/>
  <c r="I172" i="8"/>
  <c r="F172" i="8"/>
  <c r="G172" i="8"/>
  <c r="D172" i="8"/>
  <c r="E172" i="8"/>
  <c r="AQ171" i="8"/>
  <c r="AO171" i="8"/>
  <c r="AM171" i="8"/>
  <c r="AK171" i="8"/>
  <c r="AI171" i="8"/>
  <c r="L171" i="8"/>
  <c r="M171" i="8"/>
  <c r="J171" i="8"/>
  <c r="K171" i="8"/>
  <c r="H171" i="8"/>
  <c r="I171" i="8"/>
  <c r="F171" i="8"/>
  <c r="G171" i="8"/>
  <c r="D171" i="8"/>
  <c r="E171" i="8"/>
  <c r="AQ170" i="8"/>
  <c r="AO170" i="8"/>
  <c r="AM170" i="8"/>
  <c r="AK170" i="8"/>
  <c r="AI170" i="8"/>
  <c r="L170" i="8"/>
  <c r="M170" i="8"/>
  <c r="J170" i="8"/>
  <c r="K170" i="8"/>
  <c r="H170" i="8"/>
  <c r="I170" i="8"/>
  <c r="F170" i="8"/>
  <c r="G170" i="8"/>
  <c r="D170" i="8"/>
  <c r="E170" i="8"/>
  <c r="AQ169" i="8"/>
  <c r="AO169" i="8"/>
  <c r="AM169" i="8"/>
  <c r="AK169" i="8"/>
  <c r="AI169" i="8"/>
  <c r="L169" i="8"/>
  <c r="M169" i="8"/>
  <c r="J169" i="8"/>
  <c r="K169" i="8"/>
  <c r="H169" i="8"/>
  <c r="I169" i="8"/>
  <c r="F169" i="8"/>
  <c r="G169" i="8"/>
  <c r="D169" i="8"/>
  <c r="E169" i="8"/>
  <c r="AQ168" i="8"/>
  <c r="AO168" i="8"/>
  <c r="AM168" i="8"/>
  <c r="AK168" i="8"/>
  <c r="AI168" i="8"/>
  <c r="L168" i="8"/>
  <c r="M168" i="8"/>
  <c r="J168" i="8"/>
  <c r="K168" i="8"/>
  <c r="H168" i="8"/>
  <c r="I168" i="8"/>
  <c r="F168" i="8"/>
  <c r="G168" i="8"/>
  <c r="D168" i="8"/>
  <c r="E168" i="8"/>
  <c r="AQ167" i="8"/>
  <c r="AO167" i="8"/>
  <c r="AM167" i="8"/>
  <c r="AK167" i="8"/>
  <c r="AI167" i="8"/>
  <c r="L167" i="8"/>
  <c r="M167" i="8"/>
  <c r="J167" i="8"/>
  <c r="K167" i="8"/>
  <c r="H167" i="8"/>
  <c r="I167" i="8"/>
  <c r="F167" i="8"/>
  <c r="G167" i="8"/>
  <c r="D167" i="8"/>
  <c r="E167" i="8"/>
  <c r="AQ166" i="8"/>
  <c r="AO166" i="8"/>
  <c r="AM166" i="8"/>
  <c r="AK166" i="8"/>
  <c r="AI166" i="8"/>
  <c r="L166" i="8"/>
  <c r="M166" i="8"/>
  <c r="J166" i="8"/>
  <c r="K166" i="8"/>
  <c r="H166" i="8"/>
  <c r="I166" i="8"/>
  <c r="F166" i="8"/>
  <c r="G166" i="8"/>
  <c r="D166" i="8"/>
  <c r="E166" i="8"/>
  <c r="AQ165" i="8"/>
  <c r="AO165" i="8"/>
  <c r="AM165" i="8"/>
  <c r="AK165" i="8"/>
  <c r="AI165" i="8"/>
  <c r="L165" i="8"/>
  <c r="M165" i="8"/>
  <c r="J165" i="8"/>
  <c r="K165" i="8"/>
  <c r="H165" i="8"/>
  <c r="I165" i="8"/>
  <c r="F165" i="8"/>
  <c r="G165" i="8"/>
  <c r="D165" i="8"/>
  <c r="E165" i="8"/>
  <c r="AQ163" i="8"/>
  <c r="AO163" i="8"/>
  <c r="AM163" i="8"/>
  <c r="AK163" i="8"/>
  <c r="AI163" i="8"/>
  <c r="L163" i="8"/>
  <c r="M163" i="8"/>
  <c r="J163" i="8"/>
  <c r="K163" i="8"/>
  <c r="H163" i="8"/>
  <c r="I163" i="8"/>
  <c r="F163" i="8"/>
  <c r="G163" i="8"/>
  <c r="D163" i="8"/>
  <c r="E163" i="8"/>
  <c r="AQ151" i="8"/>
  <c r="AO151" i="8"/>
  <c r="AM151" i="8"/>
  <c r="AK151" i="8"/>
  <c r="AI151" i="8"/>
  <c r="L151" i="8"/>
  <c r="M151" i="8"/>
  <c r="J151" i="8"/>
  <c r="K151" i="8"/>
  <c r="H151" i="8"/>
  <c r="I151" i="8"/>
  <c r="F151" i="8"/>
  <c r="G151" i="8"/>
  <c r="D151" i="8"/>
  <c r="E151" i="8"/>
  <c r="AQ150" i="8"/>
  <c r="AO150" i="8"/>
  <c r="AM150" i="8"/>
  <c r="AK150" i="8"/>
  <c r="AI150" i="8"/>
  <c r="L150" i="8"/>
  <c r="M150" i="8"/>
  <c r="J150" i="8"/>
  <c r="K150" i="8"/>
  <c r="H150" i="8"/>
  <c r="I150" i="8"/>
  <c r="F150" i="8"/>
  <c r="G150" i="8"/>
  <c r="D150" i="8"/>
  <c r="E150" i="8"/>
  <c r="D141" i="8"/>
  <c r="AW137" i="8"/>
  <c r="AV137" i="8"/>
  <c r="AS137" i="8"/>
  <c r="AT137" i="8"/>
  <c r="AR137" i="8"/>
  <c r="AO137" i="8"/>
  <c r="AP137" i="8"/>
  <c r="AN137" i="8"/>
  <c r="P137" i="8"/>
  <c r="L137" i="8"/>
  <c r="M137" i="8"/>
  <c r="H137" i="8"/>
  <c r="I137" i="8"/>
  <c r="D137" i="8"/>
  <c r="E137" i="8"/>
  <c r="AW136" i="8"/>
  <c r="AV136" i="8"/>
  <c r="AS136" i="8"/>
  <c r="AT136" i="8"/>
  <c r="AR136" i="8"/>
  <c r="AO136" i="8"/>
  <c r="AP136" i="8"/>
  <c r="AN136" i="8"/>
  <c r="P136" i="8"/>
  <c r="L136" i="8"/>
  <c r="M136" i="8"/>
  <c r="H136" i="8"/>
  <c r="I136" i="8"/>
  <c r="D136" i="8"/>
  <c r="E136" i="8"/>
  <c r="AW135" i="8"/>
  <c r="AV135" i="8"/>
  <c r="AS135" i="8"/>
  <c r="AT135" i="8"/>
  <c r="AR135" i="8"/>
  <c r="AO135" i="8"/>
  <c r="AP135" i="8"/>
  <c r="AN135" i="8"/>
  <c r="P135" i="8"/>
  <c r="L135" i="8"/>
  <c r="M135" i="8"/>
  <c r="H135" i="8"/>
  <c r="I135" i="8"/>
  <c r="D135" i="8"/>
  <c r="E135" i="8"/>
  <c r="AU131" i="8"/>
  <c r="AT131" i="8"/>
  <c r="AQ131" i="8"/>
  <c r="AR131" i="8"/>
  <c r="AP131" i="8"/>
  <c r="AM131" i="8"/>
  <c r="AN131" i="8"/>
  <c r="AL131" i="8"/>
  <c r="L131" i="8"/>
  <c r="M131" i="8"/>
  <c r="H131" i="8"/>
  <c r="I131" i="8"/>
  <c r="D131" i="8"/>
  <c r="E131" i="8"/>
  <c r="AU130" i="8"/>
  <c r="AT130" i="8"/>
  <c r="AQ130" i="8"/>
  <c r="AR130" i="8"/>
  <c r="AP130" i="8"/>
  <c r="AM130" i="8"/>
  <c r="AN130" i="8"/>
  <c r="AL130" i="8"/>
  <c r="L130" i="8"/>
  <c r="M130" i="8"/>
  <c r="H130" i="8"/>
  <c r="I130" i="8"/>
  <c r="D130" i="8"/>
  <c r="E130" i="8"/>
  <c r="AU129" i="8"/>
  <c r="AT129" i="8"/>
  <c r="AQ129" i="8"/>
  <c r="AR129" i="8"/>
  <c r="AP129" i="8"/>
  <c r="AM129" i="8"/>
  <c r="AN129" i="8"/>
  <c r="AL129" i="8"/>
  <c r="L129" i="8"/>
  <c r="M129" i="8"/>
  <c r="H129" i="8"/>
  <c r="I129" i="8"/>
  <c r="D129" i="8"/>
  <c r="E129" i="8"/>
  <c r="AU128" i="8"/>
  <c r="AT128" i="8"/>
  <c r="AQ128" i="8"/>
  <c r="AR128" i="8"/>
  <c r="AP128" i="8"/>
  <c r="AM128" i="8"/>
  <c r="AN128" i="8"/>
  <c r="AL128" i="8"/>
  <c r="L128" i="8"/>
  <c r="M128" i="8"/>
  <c r="H128" i="8"/>
  <c r="I128" i="8"/>
  <c r="D128" i="8"/>
  <c r="E128" i="8"/>
  <c r="AU127" i="8"/>
  <c r="AT127" i="8"/>
  <c r="AQ127" i="8"/>
  <c r="AR127" i="8"/>
  <c r="AP127" i="8"/>
  <c r="AM127" i="8"/>
  <c r="AN127" i="8"/>
  <c r="AL127" i="8"/>
  <c r="L127" i="8"/>
  <c r="M127" i="8"/>
  <c r="H127" i="8"/>
  <c r="I127" i="8"/>
  <c r="D127" i="8"/>
  <c r="E127" i="8"/>
  <c r="AU126" i="8"/>
  <c r="AT126" i="8"/>
  <c r="AQ126" i="8"/>
  <c r="AR126" i="8"/>
  <c r="AP126" i="8"/>
  <c r="AM126" i="8"/>
  <c r="AN126" i="8"/>
  <c r="AL126" i="8"/>
  <c r="L126" i="8"/>
  <c r="M126" i="8"/>
  <c r="H126" i="8"/>
  <c r="I126" i="8"/>
  <c r="D126" i="8"/>
  <c r="E126" i="8"/>
  <c r="AU125" i="8"/>
  <c r="AT125" i="8"/>
  <c r="AQ125" i="8"/>
  <c r="AR125" i="8"/>
  <c r="AP125" i="8"/>
  <c r="AM125" i="8"/>
  <c r="AN125" i="8"/>
  <c r="AL125" i="8"/>
  <c r="L125" i="8"/>
  <c r="M125" i="8"/>
  <c r="H125" i="8"/>
  <c r="I125" i="8"/>
  <c r="D125" i="8"/>
  <c r="E125" i="8"/>
  <c r="AU124" i="8"/>
  <c r="AT124" i="8"/>
  <c r="AQ124" i="8"/>
  <c r="AR124" i="8"/>
  <c r="AP124" i="8"/>
  <c r="AM124" i="8"/>
  <c r="AN124" i="8"/>
  <c r="AL124" i="8"/>
  <c r="L124" i="8"/>
  <c r="M124" i="8"/>
  <c r="H124" i="8"/>
  <c r="I124" i="8"/>
  <c r="D124" i="8"/>
  <c r="E124" i="8"/>
  <c r="AU123" i="8"/>
  <c r="AT123" i="8"/>
  <c r="AQ123" i="8"/>
  <c r="AR123" i="8"/>
  <c r="AP123" i="8"/>
  <c r="AM123" i="8"/>
  <c r="AN123" i="8"/>
  <c r="AL123" i="8"/>
  <c r="L123" i="8"/>
  <c r="M123" i="8"/>
  <c r="H123" i="8"/>
  <c r="I123" i="8"/>
  <c r="D123" i="8"/>
  <c r="E123" i="8"/>
  <c r="D114" i="8"/>
  <c r="E114" i="8"/>
  <c r="AW110" i="8"/>
  <c r="AV110" i="8"/>
  <c r="AS110" i="8"/>
  <c r="AT110" i="8"/>
  <c r="AR110" i="8"/>
  <c r="AO110" i="8"/>
  <c r="AP110" i="8"/>
  <c r="AN110" i="8"/>
  <c r="T110" i="8"/>
  <c r="U110" i="8"/>
  <c r="P110" i="8"/>
  <c r="Q110" i="8"/>
  <c r="L110" i="8"/>
  <c r="M110" i="8"/>
  <c r="H110" i="8"/>
  <c r="I110" i="8"/>
  <c r="D110" i="8"/>
  <c r="E110" i="8"/>
  <c r="AW109" i="8"/>
  <c r="AV109" i="8"/>
  <c r="AS109" i="8"/>
  <c r="AT109" i="8"/>
  <c r="AR109" i="8"/>
  <c r="AO109" i="8"/>
  <c r="AP109" i="8"/>
  <c r="AN109" i="8"/>
  <c r="T109" i="8"/>
  <c r="U109" i="8"/>
  <c r="P109" i="8"/>
  <c r="Q109" i="8"/>
  <c r="L109" i="8"/>
  <c r="M109" i="8"/>
  <c r="H109" i="8"/>
  <c r="I109" i="8"/>
  <c r="D109" i="8"/>
  <c r="E109" i="8"/>
  <c r="AW108" i="8"/>
  <c r="AV108" i="8"/>
  <c r="AS108" i="8"/>
  <c r="AT108" i="8"/>
  <c r="AR108" i="8"/>
  <c r="AO108" i="8"/>
  <c r="AP108" i="8"/>
  <c r="AN108" i="8"/>
  <c r="T108" i="8"/>
  <c r="U108" i="8"/>
  <c r="P108" i="8"/>
  <c r="Q108" i="8"/>
  <c r="L108" i="8"/>
  <c r="M108" i="8"/>
  <c r="H108" i="8"/>
  <c r="I108" i="8"/>
  <c r="D108" i="8"/>
  <c r="E108" i="8"/>
  <c r="AW106" i="8"/>
  <c r="AV106" i="8"/>
  <c r="AS106" i="8"/>
  <c r="AT106" i="8"/>
  <c r="AR106" i="8"/>
  <c r="AO106" i="8"/>
  <c r="AP106" i="8"/>
  <c r="AN106" i="8"/>
  <c r="T106" i="8"/>
  <c r="U106" i="8"/>
  <c r="P106" i="8"/>
  <c r="Q106" i="8"/>
  <c r="L106" i="8"/>
  <c r="M106" i="8"/>
  <c r="H106" i="8"/>
  <c r="I106" i="8"/>
  <c r="D106" i="8"/>
  <c r="E106" i="8"/>
  <c r="AW105" i="8"/>
  <c r="AV105" i="8"/>
  <c r="AS105" i="8"/>
  <c r="AT105" i="8"/>
  <c r="AR105" i="8"/>
  <c r="AO105" i="8"/>
  <c r="AP105" i="8"/>
  <c r="AN105" i="8"/>
  <c r="T105" i="8"/>
  <c r="U105" i="8"/>
  <c r="P105" i="8"/>
  <c r="Q105" i="8"/>
  <c r="L105" i="8"/>
  <c r="M105" i="8"/>
  <c r="H105" i="8"/>
  <c r="I105" i="8"/>
  <c r="D105" i="8"/>
  <c r="E105" i="8"/>
  <c r="AW104" i="8"/>
  <c r="AV104" i="8"/>
  <c r="AS104" i="8"/>
  <c r="AT104" i="8"/>
  <c r="AR104" i="8"/>
  <c r="AO104" i="8"/>
  <c r="AP104" i="8"/>
  <c r="AN104" i="8"/>
  <c r="T104" i="8"/>
  <c r="U104" i="8"/>
  <c r="P104" i="8"/>
  <c r="Q104" i="8"/>
  <c r="L104" i="8"/>
  <c r="M104" i="8"/>
  <c r="H104" i="8"/>
  <c r="I104" i="8"/>
  <c r="D104" i="8"/>
  <c r="E104" i="8"/>
  <c r="AW103" i="8"/>
  <c r="AV103" i="8"/>
  <c r="AS103" i="8"/>
  <c r="AT103" i="8"/>
  <c r="AR103" i="8"/>
  <c r="AO103" i="8"/>
  <c r="AP103" i="8"/>
  <c r="AN103" i="8"/>
  <c r="T103" i="8"/>
  <c r="U103" i="8"/>
  <c r="P103" i="8"/>
  <c r="Q103" i="8"/>
  <c r="L103" i="8"/>
  <c r="M103" i="8"/>
  <c r="H103" i="8"/>
  <c r="I103" i="8"/>
  <c r="D103" i="8"/>
  <c r="E103" i="8"/>
  <c r="AW102" i="8"/>
  <c r="AV102" i="8"/>
  <c r="AS102" i="8"/>
  <c r="AT102" i="8"/>
  <c r="AR102" i="8"/>
  <c r="AO102" i="8"/>
  <c r="AP102" i="8"/>
  <c r="AN102" i="8"/>
  <c r="T102" i="8"/>
  <c r="U102" i="8"/>
  <c r="P102" i="8"/>
  <c r="Q102" i="8"/>
  <c r="L102" i="8"/>
  <c r="M102" i="8"/>
  <c r="H102" i="8"/>
  <c r="I102" i="8"/>
  <c r="D102" i="8"/>
  <c r="E102" i="8"/>
  <c r="AW101" i="8"/>
  <c r="AV101" i="8"/>
  <c r="AS101" i="8"/>
  <c r="AT101" i="8"/>
  <c r="AR101" i="8"/>
  <c r="AO101" i="8"/>
  <c r="AP101" i="8"/>
  <c r="AN101" i="8"/>
  <c r="T101" i="8"/>
  <c r="U101" i="8"/>
  <c r="P101" i="8"/>
  <c r="Q101" i="8"/>
  <c r="L101" i="8"/>
  <c r="M101" i="8"/>
  <c r="H101" i="8"/>
  <c r="I101" i="8"/>
  <c r="D101" i="8"/>
  <c r="E101" i="8"/>
  <c r="AW100" i="8"/>
  <c r="AV100" i="8"/>
  <c r="AS100" i="8"/>
  <c r="AT100" i="8"/>
  <c r="AR100" i="8"/>
  <c r="AO100" i="8"/>
  <c r="AP100" i="8"/>
  <c r="AN100" i="8"/>
  <c r="T100" i="8"/>
  <c r="U100" i="8"/>
  <c r="P100" i="8"/>
  <c r="Q100" i="8"/>
  <c r="L100" i="8"/>
  <c r="M100" i="8"/>
  <c r="H100" i="8"/>
  <c r="I100" i="8"/>
  <c r="D100" i="8"/>
  <c r="E100" i="8"/>
  <c r="AW99" i="8"/>
  <c r="AV99" i="8"/>
  <c r="AS99" i="8"/>
  <c r="AT99" i="8"/>
  <c r="AR99" i="8"/>
  <c r="AO99" i="8"/>
  <c r="AP99" i="8"/>
  <c r="AN99" i="8"/>
  <c r="T99" i="8"/>
  <c r="U99" i="8"/>
  <c r="P99" i="8"/>
  <c r="Q99" i="8"/>
  <c r="L99" i="8"/>
  <c r="M99" i="8"/>
  <c r="H99" i="8"/>
  <c r="I99" i="8"/>
  <c r="D99" i="8"/>
  <c r="E99" i="8"/>
  <c r="AW98" i="8"/>
  <c r="AV98" i="8"/>
  <c r="AS98" i="8"/>
  <c r="AT98" i="8"/>
  <c r="AR98" i="8"/>
  <c r="AO98" i="8"/>
  <c r="AP98" i="8"/>
  <c r="AN98" i="8"/>
  <c r="T98" i="8"/>
  <c r="U98" i="8"/>
  <c r="P98" i="8"/>
  <c r="Q98" i="8"/>
  <c r="L98" i="8"/>
  <c r="M98" i="8"/>
  <c r="H98" i="8"/>
  <c r="I98" i="8"/>
  <c r="D98" i="8"/>
  <c r="E98" i="8"/>
  <c r="AW97" i="8"/>
  <c r="AV97" i="8"/>
  <c r="AS97" i="8"/>
  <c r="AT97" i="8"/>
  <c r="AR97" i="8"/>
  <c r="AO97" i="8"/>
  <c r="AP97" i="8"/>
  <c r="AN97" i="8"/>
  <c r="T97" i="8"/>
  <c r="U97" i="8"/>
  <c r="P97" i="8"/>
  <c r="Q97" i="8"/>
  <c r="L97" i="8"/>
  <c r="M97" i="8"/>
  <c r="H97" i="8"/>
  <c r="I97" i="8"/>
  <c r="D97" i="8"/>
  <c r="E97" i="8"/>
  <c r="D89" i="8"/>
  <c r="E89" i="8"/>
  <c r="AV85" i="8"/>
  <c r="AT85" i="8"/>
  <c r="AR85" i="8"/>
  <c r="AP85" i="8"/>
  <c r="AN85" i="8"/>
  <c r="V85" i="8"/>
  <c r="W85" i="8"/>
  <c r="T85" i="8"/>
  <c r="U85" i="8"/>
  <c r="R85" i="8"/>
  <c r="S85" i="8"/>
  <c r="P85" i="8"/>
  <c r="Q85" i="8"/>
  <c r="N85" i="8"/>
  <c r="O85" i="8"/>
  <c r="L85" i="8"/>
  <c r="M85" i="8"/>
  <c r="J85" i="8"/>
  <c r="K85" i="8"/>
  <c r="H85" i="8"/>
  <c r="I85" i="8"/>
  <c r="F85" i="8"/>
  <c r="G85" i="8"/>
  <c r="D85" i="8"/>
  <c r="E85" i="8"/>
  <c r="AV84" i="8"/>
  <c r="AT84" i="8"/>
  <c r="AR84" i="8"/>
  <c r="AP84" i="8"/>
  <c r="AN84" i="8"/>
  <c r="V84" i="8"/>
  <c r="W84" i="8"/>
  <c r="T84" i="8"/>
  <c r="U84" i="8"/>
  <c r="R84" i="8"/>
  <c r="S84" i="8"/>
  <c r="P84" i="8"/>
  <c r="Q84" i="8"/>
  <c r="N84" i="8"/>
  <c r="O84" i="8"/>
  <c r="L84" i="8"/>
  <c r="M84" i="8"/>
  <c r="J84" i="8"/>
  <c r="K84" i="8"/>
  <c r="H84" i="8"/>
  <c r="I84" i="8"/>
  <c r="F84" i="8"/>
  <c r="G84" i="8"/>
  <c r="D84" i="8"/>
  <c r="E84" i="8"/>
  <c r="AV83" i="8"/>
  <c r="AT83" i="8"/>
  <c r="AR83" i="8"/>
  <c r="AP83" i="8"/>
  <c r="AN83" i="8"/>
  <c r="V83" i="8"/>
  <c r="W83" i="8"/>
  <c r="T83" i="8"/>
  <c r="U83" i="8"/>
  <c r="R83" i="8"/>
  <c r="S83" i="8"/>
  <c r="P83" i="8"/>
  <c r="Q83" i="8"/>
  <c r="N83" i="8"/>
  <c r="O83" i="8"/>
  <c r="L83" i="8"/>
  <c r="M83" i="8"/>
  <c r="J83" i="8"/>
  <c r="K83" i="8"/>
  <c r="H83" i="8"/>
  <c r="I83" i="8"/>
  <c r="F83" i="8"/>
  <c r="G83" i="8"/>
  <c r="D83" i="8"/>
  <c r="E83" i="8"/>
  <c r="AV82" i="8"/>
  <c r="AT82" i="8"/>
  <c r="AR82" i="8"/>
  <c r="AP82" i="8"/>
  <c r="AN82" i="8"/>
  <c r="V82" i="8"/>
  <c r="W82" i="8"/>
  <c r="T82" i="8"/>
  <c r="U82" i="8"/>
  <c r="R82" i="8"/>
  <c r="S82" i="8"/>
  <c r="P82" i="8"/>
  <c r="Q82" i="8"/>
  <c r="N82" i="8"/>
  <c r="O82" i="8"/>
  <c r="L82" i="8"/>
  <c r="M82" i="8"/>
  <c r="J82" i="8"/>
  <c r="K82" i="8"/>
  <c r="H82" i="8"/>
  <c r="I82" i="8"/>
  <c r="F82" i="8"/>
  <c r="G82" i="8"/>
  <c r="D82" i="8"/>
  <c r="E82" i="8"/>
  <c r="AV81" i="8"/>
  <c r="AT81" i="8"/>
  <c r="AR81" i="8"/>
  <c r="AP81" i="8"/>
  <c r="AN81" i="8"/>
  <c r="V81" i="8"/>
  <c r="W81" i="8"/>
  <c r="T81" i="8"/>
  <c r="U81" i="8"/>
  <c r="R81" i="8"/>
  <c r="S81" i="8"/>
  <c r="P81" i="8"/>
  <c r="Q81" i="8"/>
  <c r="N81" i="8"/>
  <c r="O81" i="8"/>
  <c r="L81" i="8"/>
  <c r="M81" i="8"/>
  <c r="J81" i="8"/>
  <c r="K81" i="8"/>
  <c r="H81" i="8"/>
  <c r="I81" i="8"/>
  <c r="F81" i="8"/>
  <c r="G81" i="8"/>
  <c r="D81" i="8"/>
  <c r="E81" i="8"/>
  <c r="AV80" i="8"/>
  <c r="AT80" i="8"/>
  <c r="AR80" i="8"/>
  <c r="AP80" i="8"/>
  <c r="AN80" i="8"/>
  <c r="V80" i="8"/>
  <c r="W80" i="8"/>
  <c r="T80" i="8"/>
  <c r="U80" i="8"/>
  <c r="R80" i="8"/>
  <c r="S80" i="8"/>
  <c r="P80" i="8"/>
  <c r="Q80" i="8"/>
  <c r="N80" i="8"/>
  <c r="O80" i="8"/>
  <c r="L80" i="8"/>
  <c r="M80" i="8"/>
  <c r="J80" i="8"/>
  <c r="K80" i="8"/>
  <c r="H80" i="8"/>
  <c r="I80" i="8"/>
  <c r="F80" i="8"/>
  <c r="G80" i="8"/>
  <c r="D80" i="8"/>
  <c r="E80" i="8"/>
  <c r="AV79" i="8"/>
  <c r="AT79" i="8"/>
  <c r="AR79" i="8"/>
  <c r="AP79" i="8"/>
  <c r="AN79" i="8"/>
  <c r="V79" i="8"/>
  <c r="W79" i="8"/>
  <c r="T79" i="8"/>
  <c r="U79" i="8"/>
  <c r="R79" i="8"/>
  <c r="S79" i="8"/>
  <c r="P79" i="8"/>
  <c r="Q79" i="8"/>
  <c r="N79" i="8"/>
  <c r="O79" i="8"/>
  <c r="L79" i="8"/>
  <c r="M79" i="8"/>
  <c r="J79" i="8"/>
  <c r="K79" i="8"/>
  <c r="H79" i="8"/>
  <c r="I79" i="8"/>
  <c r="F79" i="8"/>
  <c r="G79" i="8"/>
  <c r="D79" i="8"/>
  <c r="E79" i="8"/>
  <c r="AV78" i="8"/>
  <c r="AT78" i="8"/>
  <c r="AR78" i="8"/>
  <c r="AP78" i="8"/>
  <c r="AN78" i="8"/>
  <c r="V78" i="8"/>
  <c r="W78" i="8"/>
  <c r="T78" i="8"/>
  <c r="U78" i="8"/>
  <c r="R78" i="8"/>
  <c r="S78" i="8"/>
  <c r="P78" i="8"/>
  <c r="Q78" i="8"/>
  <c r="N78" i="8"/>
  <c r="O78" i="8"/>
  <c r="L78" i="8"/>
  <c r="M78" i="8"/>
  <c r="J78" i="8"/>
  <c r="K78" i="8"/>
  <c r="H78" i="8"/>
  <c r="I78" i="8"/>
  <c r="F78" i="8"/>
  <c r="G78" i="8"/>
  <c r="D78" i="8"/>
  <c r="E78" i="8"/>
  <c r="AV77" i="8"/>
  <c r="AT77" i="8"/>
  <c r="AR77" i="8"/>
  <c r="AP77" i="8"/>
  <c r="AN77" i="8"/>
  <c r="V77" i="8"/>
  <c r="W77" i="8"/>
  <c r="T77" i="8"/>
  <c r="U77" i="8"/>
  <c r="R77" i="8"/>
  <c r="S77" i="8"/>
  <c r="P77" i="8"/>
  <c r="Q77" i="8"/>
  <c r="N77" i="8"/>
  <c r="O77" i="8"/>
  <c r="L77" i="8"/>
  <c r="M77" i="8"/>
  <c r="J77" i="8"/>
  <c r="K77" i="8"/>
  <c r="H77" i="8"/>
  <c r="I77" i="8"/>
  <c r="F77" i="8"/>
  <c r="G77" i="8"/>
  <c r="D77" i="8"/>
  <c r="E77" i="8"/>
  <c r="AV76" i="8"/>
  <c r="AT76" i="8"/>
  <c r="AR76" i="8"/>
  <c r="AP76" i="8"/>
  <c r="AN76" i="8"/>
  <c r="V76" i="8"/>
  <c r="W76" i="8"/>
  <c r="T76" i="8"/>
  <c r="U76" i="8"/>
  <c r="R76" i="8"/>
  <c r="S76" i="8"/>
  <c r="P76" i="8"/>
  <c r="Q76" i="8"/>
  <c r="N76" i="8"/>
  <c r="O76" i="8"/>
  <c r="L76" i="8"/>
  <c r="M76" i="8"/>
  <c r="J76" i="8"/>
  <c r="K76" i="8"/>
  <c r="H76" i="8"/>
  <c r="I76" i="8"/>
  <c r="F76" i="8"/>
  <c r="G76" i="8"/>
  <c r="D76" i="8"/>
  <c r="E76" i="8"/>
  <c r="D67" i="8"/>
  <c r="E67" i="8"/>
  <c r="AL64" i="8"/>
  <c r="AJ64" i="8"/>
  <c r="AH64" i="8"/>
  <c r="AF64" i="8"/>
  <c r="AD64" i="8"/>
  <c r="AV63" i="8"/>
  <c r="AT63" i="8"/>
  <c r="AR63" i="8"/>
  <c r="AP63" i="8"/>
  <c r="AN63" i="8"/>
  <c r="V63" i="8"/>
  <c r="W63" i="8"/>
  <c r="T63" i="8"/>
  <c r="U63" i="8"/>
  <c r="R63" i="8"/>
  <c r="S63" i="8"/>
  <c r="P63" i="8"/>
  <c r="Q63" i="8"/>
  <c r="N63" i="8"/>
  <c r="O63" i="8"/>
  <c r="L63" i="8"/>
  <c r="M63" i="8"/>
  <c r="J63" i="8"/>
  <c r="K63" i="8"/>
  <c r="H63" i="8"/>
  <c r="I63" i="8"/>
  <c r="F63" i="8"/>
  <c r="G63" i="8"/>
  <c r="D63" i="8"/>
  <c r="E63" i="8"/>
  <c r="AV62" i="8"/>
  <c r="AT62" i="8"/>
  <c r="AR62" i="8"/>
  <c r="AP62" i="8"/>
  <c r="AN62" i="8"/>
  <c r="V62" i="8"/>
  <c r="W62" i="8"/>
  <c r="T62" i="8"/>
  <c r="U62" i="8"/>
  <c r="R62" i="8"/>
  <c r="S62" i="8"/>
  <c r="P62" i="8"/>
  <c r="Q62" i="8"/>
  <c r="N62" i="8"/>
  <c r="O62" i="8"/>
  <c r="L62" i="8"/>
  <c r="M62" i="8"/>
  <c r="J62" i="8"/>
  <c r="K62" i="8"/>
  <c r="H62" i="8"/>
  <c r="I62" i="8"/>
  <c r="F62" i="8"/>
  <c r="G62" i="8"/>
  <c r="D62" i="8"/>
  <c r="E62" i="8"/>
  <c r="AV61" i="8"/>
  <c r="AT61" i="8"/>
  <c r="AR61" i="8"/>
  <c r="AP61" i="8"/>
  <c r="AN61" i="8"/>
  <c r="V61" i="8"/>
  <c r="W61" i="8"/>
  <c r="T61" i="8"/>
  <c r="U61" i="8"/>
  <c r="R61" i="8"/>
  <c r="S61" i="8"/>
  <c r="P61" i="8"/>
  <c r="Q61" i="8"/>
  <c r="N61" i="8"/>
  <c r="O61" i="8"/>
  <c r="L61" i="8"/>
  <c r="M61" i="8"/>
  <c r="J61" i="8"/>
  <c r="K61" i="8"/>
  <c r="H61" i="8"/>
  <c r="I61" i="8"/>
  <c r="F61" i="8"/>
  <c r="G61" i="8"/>
  <c r="D61" i="8"/>
  <c r="E61" i="8"/>
  <c r="AV59" i="8"/>
  <c r="AT59" i="8"/>
  <c r="AR59" i="8"/>
  <c r="AO59" i="8"/>
  <c r="AP59" i="8"/>
  <c r="AN59" i="8"/>
  <c r="V59" i="8"/>
  <c r="W59" i="8"/>
  <c r="T59" i="8"/>
  <c r="U59" i="8"/>
  <c r="R59" i="8"/>
  <c r="S59" i="8"/>
  <c r="P59" i="8"/>
  <c r="Q59" i="8"/>
  <c r="N59" i="8"/>
  <c r="O59" i="8"/>
  <c r="L59" i="8"/>
  <c r="M59" i="8"/>
  <c r="J59" i="8"/>
  <c r="K59" i="8"/>
  <c r="H59" i="8"/>
  <c r="I59" i="8"/>
  <c r="F59" i="8"/>
  <c r="G59" i="8"/>
  <c r="D59" i="8"/>
  <c r="E59" i="8"/>
  <c r="AV58" i="8"/>
  <c r="AT58" i="8"/>
  <c r="AR58" i="8"/>
  <c r="AO58" i="8"/>
  <c r="AP58" i="8"/>
  <c r="AN58" i="8"/>
  <c r="V58" i="8"/>
  <c r="W58" i="8"/>
  <c r="T58" i="8"/>
  <c r="U58" i="8"/>
  <c r="R58" i="8"/>
  <c r="S58" i="8"/>
  <c r="P58" i="8"/>
  <c r="Q58" i="8"/>
  <c r="N58" i="8"/>
  <c r="O58" i="8"/>
  <c r="L58" i="8"/>
  <c r="M58" i="8"/>
  <c r="J58" i="8"/>
  <c r="K58" i="8"/>
  <c r="H58" i="8"/>
  <c r="I58" i="8"/>
  <c r="F58" i="8"/>
  <c r="G58" i="8"/>
  <c r="D58" i="8"/>
  <c r="E58" i="8"/>
  <c r="AV57" i="8"/>
  <c r="AT57" i="8"/>
  <c r="AR57" i="8"/>
  <c r="AO57" i="8"/>
  <c r="AP57" i="8"/>
  <c r="AN57" i="8"/>
  <c r="V57" i="8"/>
  <c r="W57" i="8"/>
  <c r="T57" i="8"/>
  <c r="U57" i="8"/>
  <c r="R57" i="8"/>
  <c r="S57" i="8"/>
  <c r="P57" i="8"/>
  <c r="Q57" i="8"/>
  <c r="N57" i="8"/>
  <c r="O57" i="8"/>
  <c r="L57" i="8"/>
  <c r="M57" i="8"/>
  <c r="J57" i="8"/>
  <c r="K57" i="8"/>
  <c r="H57" i="8"/>
  <c r="I57" i="8"/>
  <c r="F57" i="8"/>
  <c r="G57" i="8"/>
  <c r="D57" i="8"/>
  <c r="E57" i="8"/>
  <c r="AV56" i="8"/>
  <c r="AT56" i="8"/>
  <c r="AR56" i="8"/>
  <c r="AO56" i="8"/>
  <c r="AP56" i="8"/>
  <c r="AN56" i="8"/>
  <c r="V56" i="8"/>
  <c r="W56" i="8"/>
  <c r="T56" i="8"/>
  <c r="U56" i="8"/>
  <c r="R56" i="8"/>
  <c r="S56" i="8"/>
  <c r="P56" i="8"/>
  <c r="Q56" i="8"/>
  <c r="N56" i="8"/>
  <c r="O56" i="8"/>
  <c r="L56" i="8"/>
  <c r="M56" i="8"/>
  <c r="J56" i="8"/>
  <c r="K56" i="8"/>
  <c r="H56" i="8"/>
  <c r="I56" i="8"/>
  <c r="F56" i="8"/>
  <c r="G56" i="8"/>
  <c r="D56" i="8"/>
  <c r="E56" i="8"/>
  <c r="AV55" i="8"/>
  <c r="AT55" i="8"/>
  <c r="AR55" i="8"/>
  <c r="AO55" i="8"/>
  <c r="AP55" i="8"/>
  <c r="AN55" i="8"/>
  <c r="V55" i="8"/>
  <c r="W55" i="8"/>
  <c r="T55" i="8"/>
  <c r="U55" i="8"/>
  <c r="R55" i="8"/>
  <c r="S55" i="8"/>
  <c r="P55" i="8"/>
  <c r="Q55" i="8"/>
  <c r="N55" i="8"/>
  <c r="O55" i="8"/>
  <c r="L55" i="8"/>
  <c r="M55" i="8"/>
  <c r="J55" i="8"/>
  <c r="K55" i="8"/>
  <c r="H55" i="8"/>
  <c r="I55" i="8"/>
  <c r="F55" i="8"/>
  <c r="G55" i="8"/>
  <c r="D55" i="8"/>
  <c r="E55" i="8"/>
  <c r="AV54" i="8"/>
  <c r="AT54" i="8"/>
  <c r="AR54" i="8"/>
  <c r="AO54" i="8"/>
  <c r="AP54" i="8"/>
  <c r="AN54" i="8"/>
  <c r="V54" i="8"/>
  <c r="W54" i="8"/>
  <c r="T54" i="8"/>
  <c r="U54" i="8"/>
  <c r="R54" i="8"/>
  <c r="S54" i="8"/>
  <c r="P54" i="8"/>
  <c r="Q54" i="8"/>
  <c r="N54" i="8"/>
  <c r="O54" i="8"/>
  <c r="L54" i="8"/>
  <c r="M54" i="8"/>
  <c r="J54" i="8"/>
  <c r="K54" i="8"/>
  <c r="H54" i="8"/>
  <c r="I54" i="8"/>
  <c r="F54" i="8"/>
  <c r="G54" i="8"/>
  <c r="D54" i="8"/>
  <c r="E54" i="8"/>
  <c r="AV53" i="8"/>
  <c r="AT53" i="8"/>
  <c r="AR53" i="8"/>
  <c r="AO53" i="8"/>
  <c r="AP53" i="8"/>
  <c r="AN53" i="8"/>
  <c r="V53" i="8"/>
  <c r="W53" i="8"/>
  <c r="T53" i="8"/>
  <c r="U53" i="8"/>
  <c r="R53" i="8"/>
  <c r="S53" i="8"/>
  <c r="P53" i="8"/>
  <c r="Q53" i="8"/>
  <c r="N53" i="8"/>
  <c r="O53" i="8"/>
  <c r="L53" i="8"/>
  <c r="M53" i="8"/>
  <c r="J53" i="8"/>
  <c r="K53" i="8"/>
  <c r="H53" i="8"/>
  <c r="I53" i="8"/>
  <c r="F53" i="8"/>
  <c r="G53" i="8"/>
  <c r="D53" i="8"/>
  <c r="E53" i="8"/>
  <c r="AV52" i="8"/>
  <c r="AT52" i="8"/>
  <c r="AR52" i="8"/>
  <c r="AO52" i="8"/>
  <c r="AP52" i="8"/>
  <c r="AN52" i="8"/>
  <c r="V52" i="8"/>
  <c r="W52" i="8"/>
  <c r="T52" i="8"/>
  <c r="U52" i="8"/>
  <c r="R52" i="8"/>
  <c r="S52" i="8"/>
  <c r="P52" i="8"/>
  <c r="Q52" i="8"/>
  <c r="N52" i="8"/>
  <c r="O52" i="8"/>
  <c r="L52" i="8"/>
  <c r="M52" i="8"/>
  <c r="J52" i="8"/>
  <c r="K52" i="8"/>
  <c r="H52" i="8"/>
  <c r="I52" i="8"/>
  <c r="F52" i="8"/>
  <c r="G52" i="8"/>
  <c r="D52" i="8"/>
  <c r="E52" i="8"/>
  <c r="AV51" i="8"/>
  <c r="AT51" i="8"/>
  <c r="AR51" i="8"/>
  <c r="AO51" i="8"/>
  <c r="AP51" i="8"/>
  <c r="AN51" i="8"/>
  <c r="V51" i="8"/>
  <c r="W51" i="8"/>
  <c r="T51" i="8"/>
  <c r="U51" i="8"/>
  <c r="R51" i="8"/>
  <c r="S51" i="8"/>
  <c r="P51" i="8"/>
  <c r="Q51" i="8"/>
  <c r="N51" i="8"/>
  <c r="O51" i="8"/>
  <c r="L51" i="8"/>
  <c r="M51" i="8"/>
  <c r="J51" i="8"/>
  <c r="K51" i="8"/>
  <c r="H51" i="8"/>
  <c r="I51" i="8"/>
  <c r="F51" i="8"/>
  <c r="G51" i="8"/>
  <c r="D51" i="8"/>
  <c r="E51" i="8"/>
  <c r="AV50" i="8"/>
  <c r="AT50" i="8"/>
  <c r="AR50" i="8"/>
  <c r="AO50" i="8"/>
  <c r="AP50" i="8"/>
  <c r="AN50" i="8"/>
  <c r="V50" i="8"/>
  <c r="W50" i="8"/>
  <c r="T50" i="8"/>
  <c r="U50" i="8"/>
  <c r="R50" i="8"/>
  <c r="S50" i="8"/>
  <c r="P50" i="8"/>
  <c r="Q50" i="8"/>
  <c r="N50" i="8"/>
  <c r="O50" i="8"/>
  <c r="L50" i="8"/>
  <c r="M50" i="8"/>
  <c r="J50" i="8"/>
  <c r="K50" i="8"/>
  <c r="H50" i="8"/>
  <c r="I50" i="8"/>
  <c r="F50" i="8"/>
  <c r="G50" i="8"/>
  <c r="D50" i="8"/>
  <c r="E50" i="8"/>
  <c r="AE41" i="8"/>
  <c r="D41" i="8"/>
  <c r="E41" i="8"/>
  <c r="AE40" i="8"/>
  <c r="D40" i="8"/>
  <c r="E40" i="8"/>
  <c r="AV36" i="8"/>
  <c r="AT36" i="8"/>
  <c r="AR36" i="8"/>
  <c r="AP36" i="8"/>
  <c r="AN36" i="8"/>
  <c r="V36" i="8"/>
  <c r="W36" i="8"/>
  <c r="T36" i="8"/>
  <c r="U36" i="8"/>
  <c r="R36" i="8"/>
  <c r="S36" i="8"/>
  <c r="P36" i="8"/>
  <c r="Q36" i="8"/>
  <c r="N36" i="8"/>
  <c r="O36" i="8"/>
  <c r="L36" i="8"/>
  <c r="M36" i="8"/>
  <c r="J36" i="8"/>
  <c r="K36" i="8"/>
  <c r="H36" i="8"/>
  <c r="I36" i="8"/>
  <c r="F36" i="8"/>
  <c r="G36" i="8"/>
  <c r="D36" i="8"/>
  <c r="E36" i="8"/>
  <c r="AV35" i="8"/>
  <c r="AT35" i="8"/>
  <c r="AR35" i="8"/>
  <c r="AP35" i="8"/>
  <c r="AN35" i="8"/>
  <c r="V35" i="8"/>
  <c r="W35" i="8"/>
  <c r="T35" i="8"/>
  <c r="U35" i="8"/>
  <c r="R35" i="8"/>
  <c r="S35" i="8"/>
  <c r="P35" i="8"/>
  <c r="Q35" i="8"/>
  <c r="N35" i="8"/>
  <c r="O35" i="8"/>
  <c r="L35" i="8"/>
  <c r="M35" i="8"/>
  <c r="J35" i="8"/>
  <c r="K35" i="8"/>
  <c r="H35" i="8"/>
  <c r="I35" i="8"/>
  <c r="F35" i="8"/>
  <c r="G35" i="8"/>
  <c r="D35" i="8"/>
  <c r="E35" i="8"/>
  <c r="AV34" i="8"/>
  <c r="AT34" i="8"/>
  <c r="AR34" i="8"/>
  <c r="AP34" i="8"/>
  <c r="AN34" i="8"/>
  <c r="V34" i="8"/>
  <c r="W34" i="8"/>
  <c r="T34" i="8"/>
  <c r="U34" i="8"/>
  <c r="R34" i="8"/>
  <c r="S34" i="8"/>
  <c r="P34" i="8"/>
  <c r="Q34" i="8"/>
  <c r="N34" i="8"/>
  <c r="O34" i="8"/>
  <c r="L34" i="8"/>
  <c r="M34" i="8"/>
  <c r="J34" i="8"/>
  <c r="K34" i="8"/>
  <c r="H34" i="8"/>
  <c r="I34" i="8"/>
  <c r="F34" i="8"/>
  <c r="G34" i="8"/>
  <c r="D34" i="8"/>
  <c r="E34" i="8"/>
  <c r="AV32" i="8"/>
  <c r="AT32" i="8"/>
  <c r="AR32" i="8"/>
  <c r="AP32" i="8"/>
  <c r="AN32" i="8"/>
  <c r="V32" i="8"/>
  <c r="W32" i="8"/>
  <c r="T32" i="8"/>
  <c r="U32" i="8"/>
  <c r="R32" i="8"/>
  <c r="S32" i="8"/>
  <c r="P32" i="8"/>
  <c r="Q32" i="8"/>
  <c r="N32" i="8"/>
  <c r="O32" i="8"/>
  <c r="L32" i="8"/>
  <c r="M32" i="8"/>
  <c r="J32" i="8"/>
  <c r="K32" i="8"/>
  <c r="H32" i="8"/>
  <c r="I32" i="8"/>
  <c r="F32" i="8"/>
  <c r="G32" i="8"/>
  <c r="D32" i="8"/>
  <c r="E32" i="8"/>
  <c r="AV31" i="8"/>
  <c r="AT31" i="8"/>
  <c r="AR31" i="8"/>
  <c r="AP31" i="8"/>
  <c r="AN31" i="8"/>
  <c r="V31" i="8"/>
  <c r="W31" i="8"/>
  <c r="T31" i="8"/>
  <c r="U31" i="8"/>
  <c r="R31" i="8"/>
  <c r="S31" i="8"/>
  <c r="P31" i="8"/>
  <c r="Q31" i="8"/>
  <c r="N31" i="8"/>
  <c r="O31" i="8"/>
  <c r="L31" i="8"/>
  <c r="M31" i="8"/>
  <c r="J31" i="8"/>
  <c r="K31" i="8"/>
  <c r="H31" i="8"/>
  <c r="I31" i="8"/>
  <c r="F31" i="8"/>
  <c r="G31" i="8"/>
  <c r="D31" i="8"/>
  <c r="E31" i="8"/>
  <c r="AV29" i="8"/>
  <c r="AT29" i="8"/>
  <c r="AR29" i="8"/>
  <c r="AP29" i="8"/>
  <c r="AN29" i="8"/>
  <c r="V29" i="8"/>
  <c r="W29" i="8"/>
  <c r="T29" i="8"/>
  <c r="U29" i="8"/>
  <c r="R29" i="8"/>
  <c r="S29" i="8"/>
  <c r="P29" i="8"/>
  <c r="Q29" i="8"/>
  <c r="N29" i="8"/>
  <c r="O29" i="8"/>
  <c r="L29" i="8"/>
  <c r="M29" i="8"/>
  <c r="J29" i="8"/>
  <c r="K29" i="8"/>
  <c r="H29" i="8"/>
  <c r="I29" i="8"/>
  <c r="F29" i="8"/>
  <c r="G29" i="8"/>
  <c r="D29" i="8"/>
  <c r="E29" i="8"/>
  <c r="AV28" i="8"/>
  <c r="AT28" i="8"/>
  <c r="AR28" i="8"/>
  <c r="AP28" i="8"/>
  <c r="AN28" i="8"/>
  <c r="V28" i="8"/>
  <c r="W28" i="8"/>
  <c r="T28" i="8"/>
  <c r="U28" i="8"/>
  <c r="R28" i="8"/>
  <c r="S28" i="8"/>
  <c r="P28" i="8"/>
  <c r="Q28" i="8"/>
  <c r="N28" i="8"/>
  <c r="O28" i="8"/>
  <c r="L28" i="8"/>
  <c r="M28" i="8"/>
  <c r="J28" i="8"/>
  <c r="K28" i="8"/>
  <c r="H28" i="8"/>
  <c r="I28" i="8"/>
  <c r="F28" i="8"/>
  <c r="G28" i="8"/>
  <c r="D28" i="8"/>
  <c r="E28" i="8"/>
  <c r="AG26" i="8"/>
  <c r="AE26" i="8"/>
  <c r="D19" i="8"/>
  <c r="E19" i="8"/>
  <c r="AQ15" i="8"/>
  <c r="AO15" i="8"/>
  <c r="AM15" i="8"/>
  <c r="AK15" i="8"/>
  <c r="AI15" i="8"/>
  <c r="L15" i="8"/>
  <c r="M15" i="8"/>
  <c r="J15" i="8"/>
  <c r="K15" i="8"/>
  <c r="H15" i="8"/>
  <c r="I15" i="8"/>
  <c r="F15" i="8"/>
  <c r="G15" i="8"/>
  <c r="D15" i="8"/>
  <c r="E15" i="8"/>
  <c r="AG13" i="8"/>
  <c r="AF13" i="8"/>
  <c r="AE13" i="8"/>
  <c r="AD13" i="8"/>
  <c r="E5" i="8"/>
  <c r="C1" i="8"/>
  <c r="R7" i="8"/>
  <c r="J825" i="5"/>
  <c r="K825" i="5"/>
  <c r="D825" i="5"/>
  <c r="E825" i="5"/>
  <c r="J827" i="5"/>
  <c r="K827" i="5"/>
  <c r="D827" i="5"/>
  <c r="E827" i="5"/>
  <c r="J826" i="5"/>
  <c r="K826" i="5"/>
  <c r="D826" i="5"/>
  <c r="E826" i="5"/>
  <c r="F821" i="5"/>
  <c r="G821" i="5"/>
  <c r="D821" i="5"/>
  <c r="E821" i="5"/>
  <c r="F820" i="5"/>
  <c r="G820" i="5"/>
  <c r="D820" i="5"/>
  <c r="E820" i="5"/>
  <c r="F819" i="5"/>
  <c r="G819" i="5"/>
  <c r="D819" i="5"/>
  <c r="E819" i="5"/>
  <c r="L791" i="5"/>
  <c r="M791" i="5"/>
  <c r="J791" i="5"/>
  <c r="K791" i="5"/>
  <c r="H791" i="5"/>
  <c r="I791" i="5"/>
  <c r="F791" i="5"/>
  <c r="G791" i="5"/>
  <c r="D791" i="5"/>
  <c r="E791" i="5"/>
  <c r="J799" i="5"/>
  <c r="K799" i="5"/>
  <c r="D799" i="5"/>
  <c r="E799" i="5"/>
  <c r="J798" i="5"/>
  <c r="K798" i="5"/>
  <c r="D798" i="5"/>
  <c r="E798" i="5"/>
  <c r="L794" i="5"/>
  <c r="M794" i="5"/>
  <c r="J794" i="5"/>
  <c r="K794" i="5"/>
  <c r="H794" i="5"/>
  <c r="I794" i="5"/>
  <c r="F794" i="5"/>
  <c r="G794" i="5"/>
  <c r="D794" i="5"/>
  <c r="E794" i="5"/>
  <c r="L793" i="5"/>
  <c r="M793" i="5"/>
  <c r="J793" i="5"/>
  <c r="K793" i="5"/>
  <c r="H793" i="5"/>
  <c r="I793" i="5"/>
  <c r="F793" i="5"/>
  <c r="G793" i="5"/>
  <c r="D793" i="5"/>
  <c r="E793" i="5"/>
  <c r="L792" i="5"/>
  <c r="M792" i="5"/>
  <c r="J792" i="5"/>
  <c r="K792" i="5"/>
  <c r="H792" i="5"/>
  <c r="I792" i="5"/>
  <c r="F792" i="5"/>
  <c r="G792" i="5"/>
  <c r="D792" i="5"/>
  <c r="E792" i="5"/>
  <c r="L790" i="5"/>
  <c r="M790" i="5"/>
  <c r="J790" i="5"/>
  <c r="K790" i="5"/>
  <c r="H790" i="5"/>
  <c r="I790" i="5"/>
  <c r="F790" i="5"/>
  <c r="G790" i="5"/>
  <c r="D790" i="5"/>
  <c r="E790" i="5"/>
  <c r="D770" i="5"/>
  <c r="E770" i="5"/>
  <c r="D769" i="5"/>
  <c r="E769" i="5"/>
  <c r="D768" i="5"/>
  <c r="E768" i="5"/>
  <c r="D767" i="5"/>
  <c r="E767" i="5"/>
  <c r="AD184" i="8"/>
  <c r="AE184" i="8"/>
  <c r="J768" i="5"/>
  <c r="K768" i="5"/>
  <c r="J767" i="5"/>
  <c r="K767" i="5"/>
  <c r="L763" i="5"/>
  <c r="M763" i="5"/>
  <c r="J763" i="5"/>
  <c r="K763" i="5"/>
  <c r="H763" i="5"/>
  <c r="I763" i="5"/>
  <c r="F763" i="5"/>
  <c r="G763" i="5"/>
  <c r="D763" i="5"/>
  <c r="E763" i="5"/>
  <c r="D741" i="5"/>
  <c r="E741" i="5"/>
  <c r="D742" i="5"/>
  <c r="E742" i="5"/>
  <c r="P744" i="5"/>
  <c r="J744" i="5"/>
  <c r="K744" i="5"/>
  <c r="P743" i="5"/>
  <c r="Q743" i="5"/>
  <c r="J743" i="5"/>
  <c r="K743" i="5"/>
  <c r="P742" i="5"/>
  <c r="Q742" i="5"/>
  <c r="J742" i="5"/>
  <c r="K742" i="5"/>
  <c r="P741" i="5"/>
  <c r="Q741" i="5"/>
  <c r="J741" i="5"/>
  <c r="K741" i="5"/>
  <c r="P737" i="5"/>
  <c r="Q737" i="5"/>
  <c r="N737" i="5"/>
  <c r="O737" i="5"/>
  <c r="L737" i="5"/>
  <c r="M737" i="5"/>
  <c r="J737" i="5"/>
  <c r="K737" i="5"/>
  <c r="H737" i="5"/>
  <c r="I737" i="5"/>
  <c r="F737" i="5"/>
  <c r="G737" i="5"/>
  <c r="D737" i="5"/>
  <c r="E737" i="5"/>
  <c r="P736" i="5"/>
  <c r="Q736" i="5"/>
  <c r="N736" i="5"/>
  <c r="O736" i="5"/>
  <c r="L736" i="5"/>
  <c r="M736" i="5"/>
  <c r="J736" i="5"/>
  <c r="K736" i="5"/>
  <c r="H736" i="5"/>
  <c r="I736" i="5"/>
  <c r="F736" i="5"/>
  <c r="G736" i="5"/>
  <c r="D736" i="5"/>
  <c r="E736" i="5"/>
  <c r="P735" i="5"/>
  <c r="Q735" i="5"/>
  <c r="N735" i="5"/>
  <c r="O735" i="5"/>
  <c r="L735" i="5"/>
  <c r="M735" i="5"/>
  <c r="J735" i="5"/>
  <c r="K735" i="5"/>
  <c r="H735" i="5"/>
  <c r="I735" i="5"/>
  <c r="F735" i="5"/>
  <c r="G735" i="5"/>
  <c r="D735" i="5"/>
  <c r="E735" i="5"/>
  <c r="P734" i="5"/>
  <c r="Q734" i="5"/>
  <c r="N734" i="5"/>
  <c r="O734" i="5"/>
  <c r="L734" i="5"/>
  <c r="M734" i="5"/>
  <c r="J734" i="5"/>
  <c r="K734" i="5"/>
  <c r="H734" i="5"/>
  <c r="I734" i="5"/>
  <c r="F734" i="5"/>
  <c r="G734" i="5"/>
  <c r="D734" i="5"/>
  <c r="E734" i="5"/>
  <c r="P714" i="5"/>
  <c r="Q714" i="5"/>
  <c r="P706" i="5"/>
  <c r="Q706" i="5"/>
  <c r="N706" i="5"/>
  <c r="O706" i="5"/>
  <c r="L706" i="5"/>
  <c r="M706" i="5"/>
  <c r="J706" i="5"/>
  <c r="K706" i="5"/>
  <c r="H706" i="5"/>
  <c r="I706" i="5"/>
  <c r="F706" i="5"/>
  <c r="G706" i="5"/>
  <c r="D706" i="5"/>
  <c r="E706" i="5"/>
  <c r="P705" i="5"/>
  <c r="Q705" i="5"/>
  <c r="N705" i="5"/>
  <c r="O705" i="5"/>
  <c r="L705" i="5"/>
  <c r="M705" i="5"/>
  <c r="J705" i="5"/>
  <c r="K705" i="5"/>
  <c r="H705" i="5"/>
  <c r="I705" i="5"/>
  <c r="F705" i="5"/>
  <c r="G705" i="5"/>
  <c r="D705" i="5"/>
  <c r="E705" i="5"/>
  <c r="P704" i="5"/>
  <c r="Q704" i="5"/>
  <c r="N704" i="5"/>
  <c r="O704" i="5"/>
  <c r="L704" i="5"/>
  <c r="M704" i="5"/>
  <c r="J704" i="5"/>
  <c r="K704" i="5"/>
  <c r="H704" i="5"/>
  <c r="I704" i="5"/>
  <c r="F704" i="5"/>
  <c r="G704" i="5"/>
  <c r="D704" i="5"/>
  <c r="E704" i="5"/>
  <c r="P703" i="5"/>
  <c r="Q703" i="5"/>
  <c r="N703" i="5"/>
  <c r="O703" i="5"/>
  <c r="L703" i="5"/>
  <c r="M703" i="5"/>
  <c r="J703" i="5"/>
  <c r="K703" i="5"/>
  <c r="H703" i="5"/>
  <c r="I703" i="5"/>
  <c r="P713" i="5"/>
  <c r="J713" i="5"/>
  <c r="K713" i="5"/>
  <c r="P712" i="5"/>
  <c r="Q712" i="5"/>
  <c r="J712" i="5"/>
  <c r="K712" i="5"/>
  <c r="D712" i="5"/>
  <c r="E712" i="5"/>
  <c r="P711" i="5"/>
  <c r="Q711" i="5"/>
  <c r="J711" i="5"/>
  <c r="K711" i="5"/>
  <c r="D711" i="5"/>
  <c r="E711" i="5"/>
  <c r="P710" i="5"/>
  <c r="Q710" i="5"/>
  <c r="J710" i="5"/>
  <c r="K710" i="5"/>
  <c r="D710" i="5"/>
  <c r="E710" i="5"/>
  <c r="F703" i="5"/>
  <c r="G703" i="5"/>
  <c r="D703" i="5"/>
  <c r="E703" i="5"/>
  <c r="P683" i="5"/>
  <c r="Q683" i="5"/>
  <c r="P682" i="5"/>
  <c r="J682" i="5"/>
  <c r="K682" i="5"/>
  <c r="P681" i="5"/>
  <c r="Q681" i="5"/>
  <c r="J681" i="5"/>
  <c r="K681" i="5"/>
  <c r="P680" i="5"/>
  <c r="Q680" i="5"/>
  <c r="J680" i="5"/>
  <c r="K680" i="5"/>
  <c r="P679" i="5"/>
  <c r="Q679" i="5"/>
  <c r="J679" i="5"/>
  <c r="K679" i="5"/>
  <c r="D679" i="5"/>
  <c r="E679" i="5"/>
  <c r="H675" i="5"/>
  <c r="I675" i="5"/>
  <c r="F675" i="5"/>
  <c r="G675" i="5"/>
  <c r="D675" i="5"/>
  <c r="E675" i="5"/>
  <c r="H674" i="5"/>
  <c r="I674" i="5"/>
  <c r="F674" i="5"/>
  <c r="G674" i="5"/>
  <c r="D674" i="5"/>
  <c r="E674" i="5"/>
  <c r="H673" i="5"/>
  <c r="I673" i="5"/>
  <c r="F673" i="5"/>
  <c r="G673" i="5"/>
  <c r="D673" i="5"/>
  <c r="E673" i="5"/>
  <c r="H644" i="5"/>
  <c r="I644" i="5"/>
  <c r="F644" i="5"/>
  <c r="G644" i="5"/>
  <c r="D644" i="5"/>
  <c r="E644" i="5"/>
  <c r="H643" i="5"/>
  <c r="I643" i="5"/>
  <c r="F643" i="5"/>
  <c r="G643" i="5"/>
  <c r="D643" i="5"/>
  <c r="E643" i="5"/>
  <c r="H642" i="5"/>
  <c r="I642" i="5"/>
  <c r="F642" i="5"/>
  <c r="G642" i="5"/>
  <c r="D642" i="5"/>
  <c r="E642" i="5"/>
  <c r="H641" i="5"/>
  <c r="I641" i="5"/>
  <c r="F641" i="5"/>
  <c r="G641" i="5"/>
  <c r="D641" i="5"/>
  <c r="E641" i="5"/>
  <c r="H640" i="5"/>
  <c r="I640" i="5"/>
  <c r="F640" i="5"/>
  <c r="G640" i="5"/>
  <c r="D640" i="5"/>
  <c r="E640" i="5"/>
  <c r="F612" i="5"/>
  <c r="G612" i="5"/>
  <c r="D612" i="5"/>
  <c r="E612" i="5"/>
  <c r="F611" i="5"/>
  <c r="G611" i="5"/>
  <c r="D611" i="5"/>
  <c r="E611" i="5"/>
  <c r="F610" i="5"/>
  <c r="G610" i="5"/>
  <c r="D610" i="5"/>
  <c r="E610" i="5"/>
  <c r="F609" i="5"/>
  <c r="G609" i="5"/>
  <c r="D609" i="5"/>
  <c r="E609" i="5"/>
  <c r="F608" i="5"/>
  <c r="G608" i="5"/>
  <c r="D608" i="5"/>
  <c r="E608" i="5"/>
  <c r="L580" i="5"/>
  <c r="M580" i="5"/>
  <c r="J580" i="5"/>
  <c r="K580" i="5"/>
  <c r="H580" i="5"/>
  <c r="I580" i="5"/>
  <c r="F580" i="5"/>
  <c r="G580" i="5"/>
  <c r="D580" i="5"/>
  <c r="E580" i="5"/>
  <c r="L579" i="5"/>
  <c r="M579" i="5"/>
  <c r="J579" i="5"/>
  <c r="K579" i="5"/>
  <c r="H579" i="5"/>
  <c r="I579" i="5"/>
  <c r="F579" i="5"/>
  <c r="G579" i="5"/>
  <c r="D579" i="5"/>
  <c r="E579" i="5"/>
  <c r="L578" i="5"/>
  <c r="M578" i="5"/>
  <c r="J578" i="5"/>
  <c r="K578" i="5"/>
  <c r="H578" i="5"/>
  <c r="I578" i="5"/>
  <c r="F578" i="5"/>
  <c r="G578" i="5"/>
  <c r="D578" i="5"/>
  <c r="E578" i="5"/>
  <c r="L577" i="5"/>
  <c r="M577" i="5"/>
  <c r="J577" i="5"/>
  <c r="K577" i="5"/>
  <c r="H577" i="5"/>
  <c r="I577" i="5"/>
  <c r="F577" i="5"/>
  <c r="G577" i="5"/>
  <c r="D577" i="5"/>
  <c r="E577" i="5"/>
  <c r="L576" i="5"/>
  <c r="M576" i="5"/>
  <c r="J576" i="5"/>
  <c r="K576" i="5"/>
  <c r="H576" i="5"/>
  <c r="I576" i="5"/>
  <c r="F576" i="5"/>
  <c r="G576" i="5"/>
  <c r="D576" i="5"/>
  <c r="E576" i="5"/>
  <c r="N548" i="5"/>
  <c r="O548" i="5"/>
  <c r="L548" i="5"/>
  <c r="M548" i="5"/>
  <c r="J548" i="5"/>
  <c r="K548" i="5"/>
  <c r="H548" i="5"/>
  <c r="I548" i="5"/>
  <c r="F548" i="5"/>
  <c r="G548" i="5"/>
  <c r="D548" i="5"/>
  <c r="E548" i="5"/>
  <c r="N547" i="5"/>
  <c r="O547" i="5"/>
  <c r="L547" i="5"/>
  <c r="M547" i="5"/>
  <c r="J547" i="5"/>
  <c r="K547" i="5"/>
  <c r="H547" i="5"/>
  <c r="I547" i="5"/>
  <c r="F547" i="5"/>
  <c r="G547" i="5"/>
  <c r="D547" i="5"/>
  <c r="E547" i="5"/>
  <c r="N546" i="5"/>
  <c r="O546" i="5"/>
  <c r="L546" i="5"/>
  <c r="M546" i="5"/>
  <c r="J546" i="5"/>
  <c r="K546" i="5"/>
  <c r="H546" i="5"/>
  <c r="I546" i="5"/>
  <c r="F546" i="5"/>
  <c r="G546" i="5"/>
  <c r="D546" i="5"/>
  <c r="E546" i="5"/>
  <c r="N545" i="5"/>
  <c r="O545" i="5"/>
  <c r="L545" i="5"/>
  <c r="M545" i="5"/>
  <c r="J545" i="5"/>
  <c r="K545" i="5"/>
  <c r="H545" i="5"/>
  <c r="I545" i="5"/>
  <c r="F545" i="5"/>
  <c r="G545" i="5"/>
  <c r="D545" i="5"/>
  <c r="E545" i="5"/>
  <c r="N544" i="5"/>
  <c r="O544" i="5"/>
  <c r="L544" i="5"/>
  <c r="M544" i="5"/>
  <c r="J544" i="5"/>
  <c r="K544" i="5"/>
  <c r="H544" i="5"/>
  <c r="I544" i="5"/>
  <c r="F544" i="5"/>
  <c r="G544" i="5"/>
  <c r="D544" i="5"/>
  <c r="E544" i="5"/>
  <c r="N516" i="5"/>
  <c r="O516" i="5"/>
  <c r="L516" i="5"/>
  <c r="M516" i="5"/>
  <c r="J516" i="5"/>
  <c r="K516" i="5"/>
  <c r="H516" i="5"/>
  <c r="I516" i="5"/>
  <c r="F516" i="5"/>
  <c r="G516" i="5"/>
  <c r="D516" i="5"/>
  <c r="E516" i="5"/>
  <c r="N515" i="5"/>
  <c r="O515" i="5"/>
  <c r="L515" i="5"/>
  <c r="M515" i="5"/>
  <c r="J515" i="5"/>
  <c r="K515" i="5"/>
  <c r="H515" i="5"/>
  <c r="I515" i="5"/>
  <c r="F515" i="5"/>
  <c r="G515" i="5"/>
  <c r="D515" i="5"/>
  <c r="E515" i="5"/>
  <c r="N514" i="5"/>
  <c r="O514" i="5"/>
  <c r="L514" i="5"/>
  <c r="M514" i="5"/>
  <c r="J514" i="5"/>
  <c r="K514" i="5"/>
  <c r="H514" i="5"/>
  <c r="I514" i="5"/>
  <c r="F514" i="5"/>
  <c r="G514" i="5"/>
  <c r="D514" i="5"/>
  <c r="E514" i="5"/>
  <c r="N513" i="5"/>
  <c r="O513" i="5"/>
  <c r="L513" i="5"/>
  <c r="M513" i="5"/>
  <c r="J513" i="5"/>
  <c r="K513" i="5"/>
  <c r="H513" i="5"/>
  <c r="I513" i="5"/>
  <c r="F513" i="5"/>
  <c r="G513" i="5"/>
  <c r="D513" i="5"/>
  <c r="E513" i="5"/>
  <c r="N512" i="5"/>
  <c r="O512" i="5"/>
  <c r="L512" i="5"/>
  <c r="M512" i="5"/>
  <c r="J512" i="5"/>
  <c r="K512" i="5"/>
  <c r="H512" i="5"/>
  <c r="I512" i="5"/>
  <c r="F512" i="5"/>
  <c r="G512" i="5"/>
  <c r="D512" i="5"/>
  <c r="E512" i="5"/>
  <c r="F484" i="5"/>
  <c r="G484" i="5"/>
  <c r="D484" i="5"/>
  <c r="E484" i="5"/>
  <c r="F483" i="5"/>
  <c r="G483" i="5"/>
  <c r="D483" i="5"/>
  <c r="E483" i="5"/>
  <c r="F482" i="5"/>
  <c r="G482" i="5"/>
  <c r="D482" i="5"/>
  <c r="E482" i="5"/>
  <c r="F481" i="5"/>
  <c r="G481" i="5"/>
  <c r="D481" i="5"/>
  <c r="E481" i="5"/>
  <c r="F480" i="5"/>
  <c r="G480" i="5"/>
  <c r="D480" i="5"/>
  <c r="E480" i="5"/>
  <c r="F452" i="5"/>
  <c r="G452" i="5"/>
  <c r="D452" i="5"/>
  <c r="E452" i="5"/>
  <c r="F451" i="5"/>
  <c r="G451" i="5"/>
  <c r="D451" i="5"/>
  <c r="E451" i="5"/>
  <c r="F450" i="5"/>
  <c r="G450" i="5"/>
  <c r="D450" i="5"/>
  <c r="E450" i="5"/>
  <c r="F449" i="5"/>
  <c r="G449" i="5"/>
  <c r="D449" i="5"/>
  <c r="E449" i="5"/>
  <c r="F448" i="5"/>
  <c r="G448" i="5"/>
  <c r="D448" i="5"/>
  <c r="E448" i="5"/>
  <c r="F420" i="5"/>
  <c r="G420" i="5"/>
  <c r="D420" i="5"/>
  <c r="E420" i="5"/>
  <c r="F419" i="5"/>
  <c r="G419" i="5"/>
  <c r="D419" i="5"/>
  <c r="E419" i="5"/>
  <c r="F418" i="5"/>
  <c r="G418" i="5"/>
  <c r="D418" i="5"/>
  <c r="E418" i="5"/>
  <c r="F417" i="5"/>
  <c r="G417" i="5"/>
  <c r="D417" i="5"/>
  <c r="E417" i="5"/>
  <c r="F416" i="5"/>
  <c r="G416" i="5"/>
  <c r="D416" i="5"/>
  <c r="E416" i="5"/>
  <c r="F388" i="5"/>
  <c r="G388" i="5"/>
  <c r="D388" i="5"/>
  <c r="E388" i="5"/>
  <c r="F387" i="5"/>
  <c r="G387" i="5"/>
  <c r="D387" i="5"/>
  <c r="E387" i="5"/>
  <c r="F386" i="5"/>
  <c r="G386" i="5"/>
  <c r="D386" i="5"/>
  <c r="E386" i="5"/>
  <c r="F385" i="5"/>
  <c r="G385" i="5"/>
  <c r="D385" i="5"/>
  <c r="E385" i="5"/>
  <c r="F384" i="5"/>
  <c r="G384" i="5"/>
  <c r="D384" i="5"/>
  <c r="E384" i="5"/>
  <c r="D363" i="5"/>
  <c r="E363" i="5"/>
  <c r="J364" i="5"/>
  <c r="K364" i="5"/>
  <c r="P363" i="5"/>
  <c r="J363" i="5"/>
  <c r="K363" i="5"/>
  <c r="P362" i="5"/>
  <c r="Q362" i="5"/>
  <c r="J362" i="5"/>
  <c r="K362" i="5"/>
  <c r="D362" i="5"/>
  <c r="E362" i="5"/>
  <c r="P361" i="5"/>
  <c r="Q361" i="5"/>
  <c r="J361" i="5"/>
  <c r="K361" i="5"/>
  <c r="D361" i="5"/>
  <c r="E361" i="5"/>
  <c r="P360" i="5"/>
  <c r="Q360" i="5"/>
  <c r="J360" i="5"/>
  <c r="K360" i="5"/>
  <c r="D360" i="5"/>
  <c r="E360" i="5"/>
  <c r="H356" i="5"/>
  <c r="I356" i="5"/>
  <c r="F356" i="5"/>
  <c r="G356" i="5"/>
  <c r="D356" i="5"/>
  <c r="E356" i="5"/>
  <c r="H355" i="5"/>
  <c r="I355" i="5"/>
  <c r="F355" i="5"/>
  <c r="G355" i="5"/>
  <c r="D355" i="5"/>
  <c r="E355" i="5"/>
  <c r="H354" i="5"/>
  <c r="I354" i="5"/>
  <c r="F354" i="5"/>
  <c r="G354" i="5"/>
  <c r="D354" i="5"/>
  <c r="E354" i="5"/>
  <c r="H353" i="5"/>
  <c r="I353" i="5"/>
  <c r="F353" i="5"/>
  <c r="G353" i="5"/>
  <c r="D353" i="5"/>
  <c r="E353" i="5"/>
  <c r="H352" i="5"/>
  <c r="I352" i="5"/>
  <c r="F352" i="5"/>
  <c r="G352" i="5"/>
  <c r="D352" i="5"/>
  <c r="E352" i="5"/>
  <c r="H322" i="5"/>
  <c r="I322" i="5"/>
  <c r="F322" i="5"/>
  <c r="G322" i="5"/>
  <c r="D322" i="5"/>
  <c r="E322" i="5"/>
  <c r="H321" i="5"/>
  <c r="I321" i="5"/>
  <c r="F321" i="5"/>
  <c r="G321" i="5"/>
  <c r="D321" i="5"/>
  <c r="E321" i="5"/>
  <c r="H323" i="5"/>
  <c r="I323" i="5"/>
  <c r="F323" i="5"/>
  <c r="G323" i="5"/>
  <c r="D323" i="5"/>
  <c r="E323" i="5"/>
  <c r="J332" i="5"/>
  <c r="K332" i="5"/>
  <c r="P331" i="5"/>
  <c r="J331" i="5"/>
  <c r="K331" i="5"/>
  <c r="D330" i="5"/>
  <c r="E330" i="5"/>
  <c r="P330" i="5"/>
  <c r="Q330" i="5"/>
  <c r="J330" i="5"/>
  <c r="K330" i="5"/>
  <c r="D329" i="5"/>
  <c r="E329" i="5"/>
  <c r="P329" i="5"/>
  <c r="Q329" i="5"/>
  <c r="J329" i="5"/>
  <c r="K329" i="5"/>
  <c r="P328" i="5"/>
  <c r="Q328" i="5"/>
  <c r="J328" i="5"/>
  <c r="K328" i="5"/>
  <c r="D328" i="5"/>
  <c r="E328" i="5"/>
  <c r="H324" i="5"/>
  <c r="I324" i="5"/>
  <c r="F324" i="5"/>
  <c r="G324" i="5"/>
  <c r="D324" i="5"/>
  <c r="E324" i="5"/>
  <c r="H320" i="5"/>
  <c r="I320" i="5"/>
  <c r="F320" i="5"/>
  <c r="G320" i="5"/>
  <c r="D320" i="5"/>
  <c r="E320" i="5"/>
  <c r="J292" i="5"/>
  <c r="K292" i="5"/>
  <c r="H292" i="5"/>
  <c r="I292" i="5"/>
  <c r="F292" i="5"/>
  <c r="G292" i="5"/>
  <c r="D292" i="5"/>
  <c r="E292" i="5"/>
  <c r="J291" i="5"/>
  <c r="K291" i="5"/>
  <c r="H291" i="5"/>
  <c r="I291" i="5"/>
  <c r="F291" i="5"/>
  <c r="G291" i="5"/>
  <c r="D291" i="5"/>
  <c r="E291" i="5"/>
  <c r="L263" i="5"/>
  <c r="M263" i="5"/>
  <c r="L262" i="5"/>
  <c r="M262" i="5"/>
  <c r="J263" i="5"/>
  <c r="K263" i="5"/>
  <c r="H263" i="5"/>
  <c r="I263" i="5"/>
  <c r="F263" i="5"/>
  <c r="G263" i="5"/>
  <c r="D263" i="5"/>
  <c r="E263" i="5"/>
  <c r="J262" i="5"/>
  <c r="K262" i="5"/>
  <c r="H262" i="5"/>
  <c r="I262" i="5"/>
  <c r="F262" i="5"/>
  <c r="G262" i="5"/>
  <c r="D262" i="5"/>
  <c r="E262" i="5"/>
  <c r="J242" i="5"/>
  <c r="K242" i="5"/>
  <c r="P241" i="5"/>
  <c r="J241" i="5"/>
  <c r="K241" i="5"/>
  <c r="D241" i="5"/>
  <c r="E241" i="5"/>
  <c r="P240" i="5"/>
  <c r="Q240" i="5"/>
  <c r="J240" i="5"/>
  <c r="K240" i="5"/>
  <c r="D240" i="5"/>
  <c r="E240" i="5"/>
  <c r="P239" i="5"/>
  <c r="Q239" i="5"/>
  <c r="J239" i="5"/>
  <c r="K239" i="5"/>
  <c r="D239" i="5"/>
  <c r="E239" i="5"/>
  <c r="P238" i="5"/>
  <c r="Q238" i="5"/>
  <c r="J238" i="5"/>
  <c r="K238" i="5"/>
  <c r="D238" i="5"/>
  <c r="E238" i="5"/>
  <c r="J234" i="5"/>
  <c r="K234" i="5"/>
  <c r="H234" i="5"/>
  <c r="I234" i="5"/>
  <c r="F234" i="5"/>
  <c r="G234" i="5"/>
  <c r="D234" i="5"/>
  <c r="E234" i="5"/>
  <c r="J233" i="5"/>
  <c r="K233" i="5"/>
  <c r="H233" i="5"/>
  <c r="I233" i="5"/>
  <c r="F233" i="5"/>
  <c r="G233" i="5"/>
  <c r="D233" i="5"/>
  <c r="E233" i="5"/>
  <c r="J205" i="5"/>
  <c r="K205" i="5"/>
  <c r="H205" i="5"/>
  <c r="I205" i="5"/>
  <c r="F205" i="5"/>
  <c r="G205" i="5"/>
  <c r="D205" i="5"/>
  <c r="E205" i="5"/>
  <c r="J204" i="5"/>
  <c r="K204" i="5"/>
  <c r="H204" i="5"/>
  <c r="I204" i="5"/>
  <c r="F204" i="5"/>
  <c r="G204" i="5"/>
  <c r="D204" i="5"/>
  <c r="E204" i="5"/>
  <c r="J203" i="5"/>
  <c r="K203" i="5"/>
  <c r="H203" i="5"/>
  <c r="I203" i="5"/>
  <c r="F203" i="5"/>
  <c r="G203" i="5"/>
  <c r="D203" i="5"/>
  <c r="E203" i="5"/>
  <c r="D183" i="5"/>
  <c r="D181" i="5"/>
  <c r="E181" i="5"/>
  <c r="D180" i="5"/>
  <c r="E180" i="5"/>
  <c r="F176" i="5"/>
  <c r="G176" i="5"/>
  <c r="D176" i="5"/>
  <c r="E176" i="5"/>
  <c r="F175" i="5"/>
  <c r="G175" i="5"/>
  <c r="D175" i="5"/>
  <c r="E175" i="5"/>
  <c r="F174" i="5"/>
  <c r="G174" i="5"/>
  <c r="D174" i="5"/>
  <c r="E174" i="5"/>
  <c r="P152" i="5"/>
  <c r="Q152" i="5"/>
  <c r="J152" i="5"/>
  <c r="K152" i="5"/>
  <c r="P151" i="5"/>
  <c r="J151" i="5"/>
  <c r="K151" i="5"/>
  <c r="D152" i="5"/>
  <c r="E152" i="5"/>
  <c r="P150" i="5"/>
  <c r="Q150" i="5"/>
  <c r="D151" i="5"/>
  <c r="E151" i="5"/>
  <c r="J150" i="5"/>
  <c r="K150" i="5"/>
  <c r="D150" i="5"/>
  <c r="E150" i="5"/>
  <c r="D146" i="5"/>
  <c r="E146" i="5"/>
  <c r="L115" i="5"/>
  <c r="M115" i="5"/>
  <c r="J115" i="5"/>
  <c r="K115" i="5"/>
  <c r="H115" i="5"/>
  <c r="I115" i="5"/>
  <c r="F115" i="5"/>
  <c r="G115" i="5"/>
  <c r="D115" i="5"/>
  <c r="E115" i="5"/>
  <c r="L114" i="5"/>
  <c r="M114" i="5"/>
  <c r="J114" i="5"/>
  <c r="K114" i="5"/>
  <c r="H114" i="5"/>
  <c r="I114" i="5"/>
  <c r="F114" i="5"/>
  <c r="G114" i="5"/>
  <c r="D114" i="5"/>
  <c r="E114" i="5"/>
  <c r="L113" i="5"/>
  <c r="M113" i="5"/>
  <c r="J113" i="5"/>
  <c r="K113" i="5"/>
  <c r="H113" i="5"/>
  <c r="I113" i="5"/>
  <c r="F113" i="5"/>
  <c r="G113" i="5"/>
  <c r="D113" i="5"/>
  <c r="E113" i="5"/>
  <c r="D84" i="5"/>
  <c r="E84" i="5"/>
  <c r="L84" i="5"/>
  <c r="M84" i="5"/>
  <c r="J84" i="5"/>
  <c r="K84" i="5"/>
  <c r="H84" i="5"/>
  <c r="I84" i="5"/>
  <c r="F84" i="5"/>
  <c r="G84" i="5"/>
  <c r="J85" i="5"/>
  <c r="K85" i="5"/>
  <c r="H85" i="5"/>
  <c r="I85" i="5"/>
  <c r="F85" i="5"/>
  <c r="G85" i="5"/>
  <c r="D85" i="5"/>
  <c r="E85" i="5"/>
  <c r="L85" i="5"/>
  <c r="M85" i="5"/>
  <c r="L83" i="5"/>
  <c r="M83" i="5"/>
  <c r="J83" i="5"/>
  <c r="K83" i="5"/>
  <c r="H83" i="5"/>
  <c r="I83" i="5"/>
  <c r="F83" i="5"/>
  <c r="G83" i="5"/>
  <c r="D83" i="5"/>
  <c r="E83" i="5"/>
  <c r="F55" i="5"/>
  <c r="G55" i="5"/>
  <c r="D55" i="5"/>
  <c r="E55" i="5"/>
  <c r="F54" i="5"/>
  <c r="G54" i="5"/>
  <c r="D54" i="5"/>
  <c r="E54" i="5"/>
  <c r="J30" i="5"/>
  <c r="K30" i="5"/>
  <c r="D33" i="5"/>
  <c r="E33" i="5"/>
  <c r="D32" i="5"/>
  <c r="E32" i="5"/>
  <c r="D31" i="5"/>
  <c r="E31" i="5"/>
  <c r="D30" i="5"/>
  <c r="E30" i="5"/>
  <c r="C45" i="6"/>
  <c r="B119" i="8"/>
  <c r="C33" i="6"/>
  <c r="C32" i="6"/>
  <c r="B749" i="5"/>
  <c r="C31" i="6"/>
  <c r="C30" i="6"/>
  <c r="C29" i="6"/>
  <c r="C28" i="6"/>
  <c r="C27" i="6"/>
  <c r="C26" i="6"/>
  <c r="C20" i="6"/>
  <c r="B369" i="5"/>
  <c r="C25" i="6"/>
  <c r="B529" i="5"/>
  <c r="C24" i="6"/>
  <c r="B497" i="5"/>
  <c r="C23" i="6"/>
  <c r="B465" i="5"/>
  <c r="C22" i="6"/>
  <c r="B433" i="5"/>
  <c r="C21" i="6"/>
  <c r="B401" i="5"/>
  <c r="C19" i="6"/>
  <c r="C18" i="6"/>
  <c r="C16" i="6"/>
  <c r="C15" i="6"/>
  <c r="C14" i="6"/>
  <c r="C13" i="6"/>
  <c r="B159" i="5"/>
  <c r="C12" i="6"/>
  <c r="C11" i="6"/>
  <c r="B98" i="5"/>
  <c r="C10" i="6"/>
  <c r="B68" i="5"/>
  <c r="C9" i="6"/>
  <c r="B39" i="5"/>
  <c r="C8" i="6"/>
  <c r="B10" i="5"/>
  <c r="B218" i="5"/>
  <c r="B188" i="5"/>
  <c r="C41" i="6"/>
  <c r="N26" i="5"/>
  <c r="O26" i="5"/>
  <c r="N25" i="5"/>
  <c r="O25" i="5"/>
  <c r="L26" i="5"/>
  <c r="M26" i="5"/>
  <c r="L25" i="5"/>
  <c r="M25" i="5"/>
  <c r="J25" i="5"/>
  <c r="K25" i="5"/>
  <c r="J26" i="5"/>
  <c r="K26" i="5"/>
  <c r="H26" i="5"/>
  <c r="I26" i="5"/>
  <c r="H25" i="5"/>
  <c r="I25" i="5"/>
  <c r="F26" i="5"/>
  <c r="G26" i="5"/>
  <c r="F25" i="5"/>
  <c r="G25" i="5"/>
  <c r="D26" i="5"/>
  <c r="E26" i="5"/>
  <c r="D25" i="5"/>
  <c r="E25" i="5"/>
  <c r="B276" i="5"/>
  <c r="C1" i="5"/>
  <c r="Q491" i="5" s="1"/>
  <c r="B734" i="5"/>
  <c r="J31" i="5"/>
  <c r="K31" i="5"/>
  <c r="J33" i="5"/>
  <c r="K33" i="5"/>
  <c r="B247" i="5"/>
  <c r="B305" i="5"/>
  <c r="AE749" i="5"/>
  <c r="AF749" i="5"/>
  <c r="AE529" i="5"/>
  <c r="AF529" i="5"/>
  <c r="E5" i="5"/>
  <c r="C51" i="6"/>
  <c r="B49" i="6"/>
  <c r="C50" i="6"/>
  <c r="B188" i="8"/>
  <c r="C44" i="6"/>
  <c r="B93" i="8"/>
  <c r="C43" i="6"/>
  <c r="B72" i="8"/>
  <c r="C42" i="6"/>
  <c r="B46" i="8"/>
  <c r="C40" i="6"/>
  <c r="B24" i="8"/>
  <c r="B39" i="6"/>
  <c r="C47" i="6"/>
  <c r="B158" i="8"/>
  <c r="C46" i="6"/>
  <c r="B146" i="8"/>
  <c r="C37" i="6"/>
  <c r="B11" i="8"/>
  <c r="B36" i="6"/>
  <c r="C34" i="6"/>
  <c r="B804" i="5"/>
  <c r="B775" i="5"/>
  <c r="B719" i="5"/>
  <c r="B688" i="5"/>
  <c r="B625" i="5"/>
  <c r="B593" i="5"/>
  <c r="B561" i="5"/>
  <c r="B337" i="5"/>
  <c r="B128" i="5"/>
  <c r="B7" i="6"/>
  <c r="D4" i="6"/>
  <c r="J32" i="5"/>
  <c r="K32" i="5"/>
  <c r="J34" i="5"/>
  <c r="K34" i="5"/>
  <c r="P30" i="5"/>
  <c r="Q30" i="5"/>
  <c r="P31" i="5"/>
  <c r="Q31" i="5"/>
  <c r="P32" i="5"/>
  <c r="Q32" i="5"/>
  <c r="P33" i="5"/>
  <c r="P34" i="5"/>
  <c r="Q34" i="5"/>
  <c r="E730" i="5"/>
  <c r="B657" i="5"/>
  <c r="B1" i="5"/>
  <c r="I150" i="5"/>
  <c r="B143" i="5"/>
  <c r="I259" i="5"/>
  <c r="M541" i="5"/>
  <c r="G731" i="5"/>
  <c r="K288" i="5"/>
  <c r="I798" i="5"/>
  <c r="E787" i="5"/>
  <c r="C204" i="5"/>
  <c r="AB204" i="5" s="1"/>
  <c r="I637" i="5"/>
  <c r="C144" i="5"/>
  <c r="AB144" i="5" s="1"/>
  <c r="C820" i="5"/>
  <c r="AB820" i="5" s="1"/>
  <c r="Q33" i="5"/>
  <c r="O681" i="5"/>
  <c r="B672" i="5"/>
  <c r="C110" i="5"/>
  <c r="B448" i="5"/>
  <c r="E572" i="5"/>
  <c r="G573" i="5"/>
  <c r="C205" i="5"/>
  <c r="AB205" i="5"/>
  <c r="I349" i="5"/>
  <c r="C145" i="5"/>
  <c r="AB145" i="5" s="1"/>
  <c r="O34" i="5"/>
  <c r="E229" i="5"/>
  <c r="B24" i="5"/>
  <c r="B113" i="5"/>
  <c r="I712" i="5"/>
  <c r="C25" i="5"/>
  <c r="AB25" i="5" s="1"/>
  <c r="I30" i="5"/>
  <c r="K229" i="5"/>
  <c r="I33" i="5"/>
  <c r="C139" i="5"/>
  <c r="C387" i="5"/>
  <c r="AB387" i="5"/>
  <c r="C733" i="5"/>
  <c r="C83" i="5"/>
  <c r="AB83" i="5" s="1"/>
  <c r="E21" i="5"/>
  <c r="G79" i="5"/>
  <c r="C220" i="5"/>
  <c r="I742" i="5"/>
  <c r="K110" i="5"/>
  <c r="C53" i="5"/>
  <c r="C140" i="5"/>
  <c r="G230" i="5"/>
  <c r="G349" i="5"/>
  <c r="I572" i="5"/>
  <c r="I787" i="5"/>
  <c r="O730" i="5"/>
  <c r="E731" i="5"/>
  <c r="B703" i="5"/>
  <c r="G541" i="5"/>
  <c r="G413" i="5"/>
  <c r="C385" i="5"/>
  <c r="AB385" i="5" s="1"/>
  <c r="O328" i="5"/>
  <c r="B262" i="5"/>
  <c r="I240" i="5"/>
  <c r="E171" i="5"/>
  <c r="Q151" i="5"/>
  <c r="C109" i="5"/>
  <c r="O30" i="5"/>
  <c r="G730" i="5"/>
  <c r="C710" i="5"/>
  <c r="B607" i="5"/>
  <c r="C543" i="5"/>
  <c r="C351" i="5"/>
  <c r="E358" i="5" s="1"/>
  <c r="C288" i="5"/>
  <c r="B265" i="5"/>
  <c r="C200" i="5"/>
  <c r="B790" i="5"/>
  <c r="I730" i="5"/>
  <c r="I741" i="5"/>
  <c r="O712" i="5"/>
  <c r="B447" i="5"/>
  <c r="E454" i="5" s="1"/>
  <c r="E316" i="5"/>
  <c r="M258" i="5"/>
  <c r="I230" i="5"/>
  <c r="G171" i="5"/>
  <c r="E140" i="5"/>
  <c r="B83" i="5"/>
  <c r="C24" i="5"/>
  <c r="E4" i="5"/>
  <c r="G700" i="5"/>
  <c r="B576" i="5"/>
  <c r="B320" i="5"/>
  <c r="C233" i="5"/>
  <c r="AB233" i="5"/>
  <c r="O241" i="5"/>
  <c r="E80" i="5"/>
  <c r="O21" i="5"/>
  <c r="E1" i="5"/>
  <c r="E786" i="5"/>
  <c r="O731" i="5"/>
  <c r="C611" i="5"/>
  <c r="AB611" i="5" s="1"/>
  <c r="E509" i="5"/>
  <c r="O361" i="5"/>
  <c r="C258" i="5"/>
  <c r="E258" i="5"/>
  <c r="I238" i="5"/>
  <c r="M80" i="5"/>
  <c r="C21" i="5"/>
  <c r="C31" i="5"/>
  <c r="I573" i="5"/>
  <c r="C352" i="5"/>
  <c r="AB352" i="5" s="1"/>
  <c r="C263" i="5"/>
  <c r="AB263" i="5" s="1"/>
  <c r="C240" i="5"/>
  <c r="I109" i="5"/>
  <c r="K22" i="5"/>
  <c r="I786" i="5"/>
  <c r="E22" i="5"/>
  <c r="I825" i="5"/>
  <c r="K731" i="5"/>
  <c r="C627" i="5"/>
  <c r="C573" i="5"/>
  <c r="B543" i="5"/>
  <c r="C511" i="5"/>
  <c r="G381" i="5"/>
  <c r="I329" i="5"/>
  <c r="E259" i="5"/>
  <c r="B236" i="5"/>
  <c r="B202" i="5"/>
  <c r="E207" i="5" s="1"/>
  <c r="B178" i="5"/>
  <c r="C114" i="5"/>
  <c r="AB114" i="5"/>
  <c r="M22" i="5"/>
  <c r="I34" i="5"/>
  <c r="C792" i="5"/>
  <c r="AB792" i="5" s="1"/>
  <c r="Q744" i="5"/>
  <c r="C668" i="5"/>
  <c r="G605" i="5"/>
  <c r="C546" i="5"/>
  <c r="AB546" i="5"/>
  <c r="C381" i="5"/>
  <c r="G317" i="5"/>
  <c r="C287" i="5"/>
  <c r="I229" i="5"/>
  <c r="K200" i="5"/>
  <c r="M79" i="5"/>
  <c r="C55" i="5"/>
  <c r="AB55" i="5" s="1"/>
  <c r="I32" i="5"/>
  <c r="O710" i="5"/>
  <c r="G348" i="5"/>
  <c r="C307" i="5"/>
  <c r="B232" i="5"/>
  <c r="O151" i="5"/>
  <c r="C41" i="5"/>
  <c r="G760" i="5"/>
  <c r="C33" i="5"/>
  <c r="O329" i="5"/>
  <c r="E381" i="5"/>
  <c r="B454" i="5"/>
  <c r="C763" i="5"/>
  <c r="AB763" i="5" s="1"/>
  <c r="C412" i="5"/>
  <c r="C479" i="5"/>
  <c r="C575" i="5"/>
  <c r="C673" i="5"/>
  <c r="AB673" i="5" s="1"/>
  <c r="E700" i="5"/>
  <c r="O741" i="5"/>
  <c r="O33" i="5"/>
  <c r="O22" i="5"/>
  <c r="I110" i="5"/>
  <c r="C142" i="5"/>
  <c r="Q331" i="5"/>
  <c r="C322" i="5"/>
  <c r="AB322" i="5" s="1"/>
  <c r="C384" i="5"/>
  <c r="AB384" i="5"/>
  <c r="I508" i="5"/>
  <c r="B582" i="5"/>
  <c r="C610" i="5"/>
  <c r="AB610" i="5"/>
  <c r="C675" i="5"/>
  <c r="AB675" i="5" s="1"/>
  <c r="G699" i="5"/>
  <c r="M731" i="5"/>
  <c r="C790" i="5"/>
  <c r="AB790" i="5"/>
  <c r="C751" i="5"/>
  <c r="C735" i="5"/>
  <c r="AB735" i="5"/>
  <c r="G669" i="5"/>
  <c r="C643" i="5"/>
  <c r="AB643" i="5" s="1"/>
  <c r="C636" i="5"/>
  <c r="E573" i="5"/>
  <c r="C540" i="5"/>
  <c r="G540" i="5"/>
  <c r="C447" i="5"/>
  <c r="C445" i="5"/>
  <c r="B351" i="5"/>
  <c r="C323" i="5"/>
  <c r="AB323" i="5" s="1"/>
  <c r="C330" i="5"/>
  <c r="I288" i="5"/>
  <c r="M259" i="5"/>
  <c r="O238" i="5"/>
  <c r="C176" i="5"/>
  <c r="AB176" i="5" s="1"/>
  <c r="C150" i="5"/>
  <c r="C100" i="5"/>
  <c r="C50" i="5"/>
  <c r="G21" i="5"/>
  <c r="U2" i="5"/>
  <c r="B823" i="5"/>
  <c r="C777" i="5"/>
  <c r="O699" i="5"/>
  <c r="C705" i="5"/>
  <c r="AB705" i="5" s="1"/>
  <c r="C674" i="5"/>
  <c r="AB674" i="5" s="1"/>
  <c r="O680" i="5"/>
  <c r="C545" i="5"/>
  <c r="AB545" i="5" s="1"/>
  <c r="E508" i="5"/>
  <c r="C476" i="5"/>
  <c r="C413" i="5"/>
  <c r="C363" i="5"/>
  <c r="I827" i="5"/>
  <c r="G787" i="5"/>
  <c r="B762" i="5"/>
  <c r="O700" i="5"/>
  <c r="I681" i="5"/>
  <c r="C547" i="5"/>
  <c r="AB547" i="5"/>
  <c r="B511" i="5"/>
  <c r="B416" i="5"/>
  <c r="C416" i="5"/>
  <c r="AB416" i="5"/>
  <c r="O360" i="5"/>
  <c r="E288" i="5"/>
  <c r="G259" i="5"/>
  <c r="C261" i="5"/>
  <c r="E230" i="5"/>
  <c r="C175" i="5"/>
  <c r="AB175" i="5"/>
  <c r="O152" i="5"/>
  <c r="I79" i="5"/>
  <c r="B57" i="5"/>
  <c r="B28" i="5"/>
  <c r="C825" i="5"/>
  <c r="C760" i="5"/>
  <c r="C736" i="5"/>
  <c r="AB736" i="5" s="1"/>
  <c r="K699" i="5"/>
  <c r="I680" i="5"/>
  <c r="E476" i="5"/>
  <c r="G445" i="5"/>
  <c r="C418" i="5"/>
  <c r="AB418" i="5" s="1"/>
  <c r="B358" i="5"/>
  <c r="C354" i="5"/>
  <c r="AB354" i="5" s="1"/>
  <c r="C317" i="5"/>
  <c r="G287" i="5"/>
  <c r="C234" i="5"/>
  <c r="AB234" i="5"/>
  <c r="C174" i="5"/>
  <c r="AB174" i="5"/>
  <c r="B142" i="5"/>
  <c r="E148" i="5" s="1"/>
  <c r="G786" i="5"/>
  <c r="M786" i="5"/>
  <c r="E760" i="5"/>
  <c r="C742" i="5"/>
  <c r="B739" i="5"/>
  <c r="I744" i="5"/>
  <c r="K700" i="5"/>
  <c r="B708" i="5"/>
  <c r="O713" i="5"/>
  <c r="C669" i="5"/>
  <c r="C640" i="5"/>
  <c r="AB640" i="5" s="1"/>
  <c r="C609" i="5"/>
  <c r="AB609" i="5"/>
  <c r="K572" i="5"/>
  <c r="C577" i="5"/>
  <c r="AB577" i="5" s="1"/>
  <c r="E540" i="5"/>
  <c r="I509" i="5"/>
  <c r="C816" i="5"/>
  <c r="C799" i="5"/>
  <c r="C768" i="5"/>
  <c r="M730" i="5"/>
  <c r="C731" i="5"/>
  <c r="E699" i="5"/>
  <c r="C704" i="5"/>
  <c r="AB704" i="5" s="1"/>
  <c r="B702" i="5"/>
  <c r="O679" i="5"/>
  <c r="E636" i="5"/>
  <c r="B608" i="5"/>
  <c r="C563" i="5"/>
  <c r="K541" i="5"/>
  <c r="E541" i="5"/>
  <c r="K509" i="5"/>
  <c r="B518" i="5"/>
  <c r="C482" i="5"/>
  <c r="AB482" i="5"/>
  <c r="C483" i="5"/>
  <c r="AB483" i="5" s="1"/>
  <c r="B480" i="5"/>
  <c r="G444" i="5"/>
  <c r="C419" i="5"/>
  <c r="AB419" i="5"/>
  <c r="G380" i="5"/>
  <c r="C362" i="5"/>
  <c r="O362" i="5"/>
  <c r="C320" i="5"/>
  <c r="AB320" i="5"/>
  <c r="O331" i="5"/>
  <c r="G288" i="5"/>
  <c r="C278" i="5"/>
  <c r="K259" i="5"/>
  <c r="C230" i="5"/>
  <c r="B203" i="5"/>
  <c r="C171" i="5"/>
  <c r="C170" i="5"/>
  <c r="B148" i="5"/>
  <c r="C826" i="5"/>
  <c r="G816" i="5"/>
  <c r="K786" i="5"/>
  <c r="K760" i="5"/>
  <c r="C721" i="5"/>
  <c r="C734" i="5"/>
  <c r="AB734" i="5" s="1"/>
  <c r="C711" i="5"/>
  <c r="G668" i="5"/>
  <c r="C702" i="5"/>
  <c r="B673" i="5"/>
  <c r="B671" i="5"/>
  <c r="G637" i="5"/>
  <c r="C595" i="5"/>
  <c r="C576" i="5"/>
  <c r="AB576" i="5"/>
  <c r="C572" i="5"/>
  <c r="C544" i="5"/>
  <c r="AB544" i="5" s="1"/>
  <c r="B550" i="5"/>
  <c r="C515" i="5"/>
  <c r="AB515" i="5" s="1"/>
  <c r="B512" i="5"/>
  <c r="C481" i="5"/>
  <c r="AB481" i="5" s="1"/>
  <c r="E412" i="5"/>
  <c r="B383" i="5"/>
  <c r="I361" i="5"/>
  <c r="C361" i="5"/>
  <c r="C321" i="5"/>
  <c r="AB321" i="5"/>
  <c r="I332" i="5"/>
  <c r="K287" i="5"/>
  <c r="C292" i="5"/>
  <c r="AB292" i="5" s="1"/>
  <c r="K258" i="5"/>
  <c r="K230" i="5"/>
  <c r="B174" i="5"/>
  <c r="G170" i="5"/>
  <c r="E139" i="5"/>
  <c r="C12" i="5"/>
  <c r="M109" i="5"/>
  <c r="G110" i="5"/>
  <c r="K80" i="5"/>
  <c r="E79" i="5"/>
  <c r="E51" i="5"/>
  <c r="I21" i="5"/>
  <c r="C32" i="5"/>
  <c r="C827" i="5"/>
  <c r="I799" i="5"/>
  <c r="C789" i="5"/>
  <c r="I768" i="5"/>
  <c r="B819" i="5"/>
  <c r="M787" i="5"/>
  <c r="B789" i="5"/>
  <c r="E796" i="5" s="1"/>
  <c r="C770" i="5"/>
  <c r="C741" i="5"/>
  <c r="M699" i="5"/>
  <c r="I713" i="5"/>
  <c r="O711" i="5"/>
  <c r="I682" i="5"/>
  <c r="O682" i="5"/>
  <c r="C604" i="5"/>
  <c r="B575" i="5"/>
  <c r="E582" i="5" s="1"/>
  <c r="M572" i="5"/>
  <c r="B544" i="5"/>
  <c r="I541" i="5"/>
  <c r="G508" i="5"/>
  <c r="C477" i="5"/>
  <c r="B479" i="5"/>
  <c r="C444" i="5"/>
  <c r="B415" i="5"/>
  <c r="C360" i="5"/>
  <c r="C339" i="5"/>
  <c r="I348" i="5"/>
  <c r="B326" i="5"/>
  <c r="B294" i="5"/>
  <c r="O239" i="5"/>
  <c r="Q241" i="5"/>
  <c r="K199" i="5"/>
  <c r="G200" i="5"/>
  <c r="K109" i="5"/>
  <c r="C85" i="5"/>
  <c r="AB85" i="5" s="1"/>
  <c r="I80" i="5"/>
  <c r="C79" i="5"/>
  <c r="B53" i="5"/>
  <c r="E57" i="5" s="1"/>
  <c r="C26" i="5"/>
  <c r="AB26" i="5" s="1"/>
  <c r="E2" i="5"/>
  <c r="O31" i="5"/>
  <c r="G22" i="5"/>
  <c r="B25" i="5"/>
  <c r="E50" i="5"/>
  <c r="B82" i="5"/>
  <c r="G80" i="5"/>
  <c r="C115" i="5"/>
  <c r="AB115" i="5"/>
  <c r="C70" i="5"/>
  <c r="E183" i="5"/>
  <c r="C202" i="5"/>
  <c r="B233" i="5"/>
  <c r="C232" i="5"/>
  <c r="C262" i="5"/>
  <c r="AB262" i="5"/>
  <c r="G258" i="5"/>
  <c r="B290" i="5"/>
  <c r="C328" i="5"/>
  <c r="I330" i="5"/>
  <c r="I362" i="5"/>
  <c r="E348" i="5"/>
  <c r="E380" i="5"/>
  <c r="B390" i="5"/>
  <c r="E413" i="5"/>
  <c r="C449" i="5"/>
  <c r="AB449" i="5"/>
  <c r="C509" i="5"/>
  <c r="C513" i="5"/>
  <c r="AB513" i="5" s="1"/>
  <c r="M540" i="5"/>
  <c r="M573" i="5"/>
  <c r="C608" i="5"/>
  <c r="AB608" i="5"/>
  <c r="C605" i="5"/>
  <c r="G636" i="5"/>
  <c r="C639" i="5"/>
  <c r="C699" i="5"/>
  <c r="M700" i="5"/>
  <c r="I731" i="5"/>
  <c r="B733" i="5"/>
  <c r="C769" i="5"/>
  <c r="C815" i="5"/>
  <c r="B8" i="5"/>
  <c r="C30" i="5"/>
  <c r="U5" i="5"/>
  <c r="C22" i="5"/>
  <c r="C80" i="5"/>
  <c r="E109" i="5"/>
  <c r="C112" i="5"/>
  <c r="C152" i="5"/>
  <c r="C161" i="5"/>
  <c r="G229" i="5"/>
  <c r="B261" i="5"/>
  <c r="C291" i="5"/>
  <c r="AB291" i="5"/>
  <c r="B291" i="5"/>
  <c r="I331" i="5"/>
  <c r="I364" i="5"/>
  <c r="C355" i="5"/>
  <c r="AB355" i="5"/>
  <c r="G412" i="5"/>
  <c r="C450" i="5"/>
  <c r="AB450" i="5" s="1"/>
  <c r="C499" i="5"/>
  <c r="K508" i="5"/>
  <c r="E605" i="5"/>
  <c r="B614" i="5"/>
  <c r="I636" i="5"/>
  <c r="E669" i="5"/>
  <c r="I668" i="5"/>
  <c r="E668" i="5"/>
  <c r="O714" i="5"/>
  <c r="O743" i="5"/>
  <c r="K730" i="5"/>
  <c r="I767" i="5"/>
  <c r="T497" i="5"/>
  <c r="R49" i="8"/>
  <c r="B33" i="8"/>
  <c r="B81" i="8"/>
  <c r="E28" i="5"/>
  <c r="E739" i="5"/>
  <c r="E518" i="5"/>
  <c r="E236" i="5"/>
  <c r="E265" i="5"/>
  <c r="E550" i="5"/>
  <c r="E486" i="5"/>
  <c r="E708" i="5"/>
  <c r="V7" i="8"/>
  <c r="F75" i="8"/>
  <c r="B178" i="8"/>
  <c r="L161" i="8"/>
  <c r="C160" i="8"/>
  <c r="N49" i="8"/>
  <c r="F27" i="8"/>
  <c r="S8" i="8"/>
  <c r="C178" i="8"/>
  <c r="F7" i="8"/>
  <c r="B31" i="8"/>
  <c r="P49" i="8"/>
  <c r="B19" i="8"/>
  <c r="D14" i="8"/>
  <c r="B95" i="8"/>
  <c r="B32" i="8"/>
  <c r="D149" i="8"/>
  <c r="V33" i="8"/>
  <c r="T26" i="8"/>
  <c r="G93" i="8"/>
  <c r="B50" i="8"/>
  <c r="N75" i="8"/>
  <c r="B203" i="8"/>
  <c r="P48" i="8"/>
  <c r="B103" i="8"/>
  <c r="B135" i="8"/>
  <c r="D121" i="8"/>
  <c r="C95" i="8"/>
  <c r="G46" i="8"/>
  <c r="B100" i="8"/>
  <c r="P26" i="8"/>
  <c r="B174" i="8"/>
  <c r="D202" i="8"/>
  <c r="B35" i="8"/>
  <c r="H95" i="8"/>
  <c r="B65" i="8"/>
  <c r="L122" i="8"/>
  <c r="K8" i="8"/>
  <c r="C75" i="8"/>
  <c r="B26" i="8"/>
  <c r="H75" i="8"/>
  <c r="B137" i="8"/>
  <c r="H149" i="8"/>
  <c r="L96" i="8"/>
  <c r="B162" i="8"/>
  <c r="B204" i="8"/>
  <c r="B84" i="8"/>
  <c r="B79" i="8"/>
  <c r="L121" i="8"/>
  <c r="B170" i="8"/>
  <c r="B41" i="8"/>
  <c r="B40" i="8"/>
  <c r="L149" i="8"/>
  <c r="B153" i="8"/>
  <c r="B131" i="8"/>
  <c r="B52" i="8"/>
  <c r="D75" i="8"/>
  <c r="D49" i="8"/>
  <c r="E107" i="8"/>
  <c r="C148" i="8"/>
  <c r="L14" i="8"/>
  <c r="B165" i="8"/>
  <c r="B67" i="8"/>
  <c r="B126" i="8"/>
  <c r="G8" i="8"/>
  <c r="B98" i="8"/>
  <c r="B77" i="8"/>
  <c r="B109" i="8"/>
  <c r="D13" i="8"/>
  <c r="B85" i="8"/>
  <c r="D148" i="8"/>
  <c r="D27" i="8"/>
  <c r="P7" i="8"/>
  <c r="J148" i="8"/>
  <c r="B130" i="8"/>
  <c r="E1" i="8"/>
  <c r="C182" i="8"/>
  <c r="B192" i="8"/>
  <c r="H26" i="8"/>
  <c r="B194" i="8"/>
  <c r="F161" i="8"/>
  <c r="V27" i="8"/>
  <c r="M8" i="8"/>
  <c r="C180" i="8"/>
  <c r="F14" i="8"/>
  <c r="B172" i="8"/>
  <c r="B108" i="8"/>
  <c r="B128" i="8"/>
  <c r="B34" i="8"/>
  <c r="B195" i="8"/>
  <c r="Q8" i="8"/>
  <c r="J75" i="8"/>
  <c r="F49" i="8"/>
  <c r="D74" i="8"/>
  <c r="H14" i="8"/>
  <c r="V49" i="8"/>
  <c r="B76" i="8"/>
  <c r="L27" i="8"/>
  <c r="C27" i="8"/>
  <c r="C121" i="8"/>
  <c r="B150" i="8"/>
  <c r="J49" i="8"/>
  <c r="C149" i="8"/>
  <c r="B193" i="8"/>
  <c r="B78" i="8"/>
  <c r="H27" i="8"/>
  <c r="B129" i="8"/>
  <c r="B202" i="8"/>
  <c r="B125" i="8"/>
  <c r="T95" i="8"/>
  <c r="D48" i="8"/>
  <c r="B53" i="8"/>
  <c r="B59" i="8"/>
  <c r="R75" i="8"/>
  <c r="H161" i="8"/>
  <c r="B124" i="8"/>
  <c r="U4" i="8"/>
  <c r="T7" i="8"/>
  <c r="B55" i="8"/>
  <c r="H13" i="8"/>
  <c r="B54" i="8"/>
  <c r="B101" i="8"/>
  <c r="T96" i="8"/>
  <c r="B148" i="8"/>
  <c r="E8" i="8"/>
  <c r="T48" i="8"/>
  <c r="G72" i="8"/>
  <c r="B106" i="8"/>
  <c r="F160" i="8"/>
  <c r="C13" i="8"/>
  <c r="B136" i="8"/>
  <c r="J161" i="8"/>
  <c r="B15" i="8"/>
  <c r="J14" i="8"/>
  <c r="P95" i="8"/>
  <c r="B17" i="8"/>
  <c r="E24" i="8"/>
  <c r="B97" i="8"/>
  <c r="C26" i="8"/>
  <c r="C161" i="8"/>
  <c r="B114" i="8"/>
  <c r="T27" i="8"/>
  <c r="B190" i="8"/>
  <c r="W8" i="8"/>
  <c r="B38" i="8"/>
  <c r="B80" i="8"/>
  <c r="E4" i="8"/>
  <c r="L49" i="8"/>
  <c r="B83" i="8"/>
  <c r="B121" i="8"/>
  <c r="C96" i="8"/>
  <c r="B89" i="8"/>
  <c r="D7" i="8"/>
  <c r="B166" i="8"/>
  <c r="E60" i="8"/>
  <c r="B58" i="8"/>
  <c r="B56" i="8"/>
  <c r="B28" i="8"/>
  <c r="B63" i="8"/>
  <c r="T49" i="8"/>
  <c r="H121" i="8"/>
  <c r="H148" i="8"/>
  <c r="C74" i="8"/>
  <c r="D160" i="8"/>
  <c r="G119" i="8"/>
  <c r="B206" i="8"/>
  <c r="C179" i="8"/>
  <c r="L7" i="8"/>
  <c r="E2" i="8"/>
  <c r="T74" i="8"/>
  <c r="B61" i="8"/>
  <c r="F148" i="8"/>
  <c r="C181" i="8"/>
  <c r="H74" i="8"/>
  <c r="J149" i="8"/>
  <c r="C183" i="8"/>
  <c r="C14" i="8"/>
  <c r="B160" i="8"/>
  <c r="P74" i="8"/>
  <c r="D26" i="8"/>
  <c r="D161" i="8"/>
  <c r="U5" i="8"/>
  <c r="B36" i="8"/>
  <c r="B127" i="8"/>
  <c r="N27" i="8"/>
  <c r="L26" i="8"/>
  <c r="L95" i="8"/>
  <c r="F13" i="8"/>
  <c r="B141" i="8"/>
  <c r="L75" i="8"/>
  <c r="B13" i="8"/>
  <c r="J13" i="8"/>
  <c r="B107" i="8"/>
  <c r="B164" i="8"/>
  <c r="U2" i="8"/>
  <c r="B62" i="8"/>
  <c r="C48" i="8"/>
  <c r="B30" i="8"/>
  <c r="R27" i="8"/>
  <c r="L48" i="8"/>
  <c r="B87" i="8"/>
  <c r="B51" i="8"/>
  <c r="P75" i="8"/>
  <c r="T75" i="8"/>
  <c r="D95" i="8"/>
  <c r="V75" i="8"/>
  <c r="B191" i="8"/>
  <c r="H122" i="8"/>
  <c r="B134" i="8"/>
  <c r="E134" i="8"/>
  <c r="U8" i="8"/>
  <c r="B163" i="8"/>
  <c r="L148" i="8"/>
  <c r="L13" i="8"/>
  <c r="L160" i="8"/>
  <c r="B169" i="8"/>
  <c r="P96" i="8"/>
  <c r="B8" i="8"/>
  <c r="B171" i="8"/>
  <c r="B99" i="8"/>
  <c r="H7" i="8"/>
  <c r="B173" i="8"/>
  <c r="B110" i="8"/>
  <c r="I8" i="8"/>
  <c r="B176" i="8"/>
  <c r="C122" i="8"/>
  <c r="D96" i="8"/>
  <c r="J27" i="8"/>
  <c r="B105" i="8"/>
  <c r="P27" i="8"/>
  <c r="B29" i="8"/>
  <c r="B112" i="8"/>
  <c r="B139" i="8"/>
  <c r="B205" i="8"/>
  <c r="B123" i="8"/>
  <c r="B74" i="8"/>
  <c r="B57" i="8"/>
  <c r="D122" i="8"/>
  <c r="N7" i="8"/>
  <c r="L74" i="8"/>
  <c r="B60" i="8"/>
  <c r="O8" i="8"/>
  <c r="B168" i="8"/>
  <c r="H49" i="8"/>
  <c r="H48" i="8"/>
  <c r="B82" i="8"/>
  <c r="B167" i="8"/>
  <c r="C49" i="8"/>
  <c r="B48" i="8"/>
  <c r="H96" i="8"/>
  <c r="B104" i="8"/>
  <c r="D190" i="8"/>
  <c r="B151" i="8"/>
  <c r="B102" i="8"/>
  <c r="H160" i="8"/>
  <c r="J160" i="8"/>
  <c r="F149" i="8"/>
  <c r="J7" i="8"/>
  <c r="C580" i="5" l="1"/>
  <c r="AB580" i="5" s="1"/>
  <c r="I91" i="5"/>
  <c r="C54" i="5"/>
  <c r="AB54" i="5" s="1"/>
  <c r="C290" i="5"/>
  <c r="E294" i="5" s="1"/>
  <c r="C239" i="5"/>
  <c r="C130" i="5"/>
  <c r="I360" i="5"/>
  <c r="E200" i="5"/>
  <c r="K540" i="5"/>
  <c r="C183" i="5"/>
  <c r="C259" i="5"/>
  <c r="O120" i="5"/>
  <c r="C210" i="5"/>
  <c r="C644" i="5"/>
  <c r="AB644" i="5" s="1"/>
  <c r="C516" i="5"/>
  <c r="AB516" i="5" s="1"/>
  <c r="C420" i="5"/>
  <c r="AB420" i="5" s="1"/>
  <c r="O651" i="5"/>
  <c r="C651" i="5"/>
  <c r="I650" i="5"/>
  <c r="O649" i="5"/>
  <c r="C649" i="5"/>
  <c r="I648" i="5"/>
  <c r="I620" i="5"/>
  <c r="O619" i="5"/>
  <c r="C618" i="5"/>
  <c r="I618" i="5"/>
  <c r="O617" i="5"/>
  <c r="O616" i="5"/>
  <c r="C616" i="5"/>
  <c r="C588" i="5"/>
  <c r="I587" i="5"/>
  <c r="O586" i="5"/>
  <c r="C586" i="5"/>
  <c r="I585" i="5"/>
  <c r="O584" i="5"/>
  <c r="C584" i="5"/>
  <c r="C556" i="5"/>
  <c r="I555" i="5"/>
  <c r="O554" i="5"/>
  <c r="C554" i="5"/>
  <c r="I553" i="5"/>
  <c r="O552" i="5"/>
  <c r="C552" i="5"/>
  <c r="Q523" i="5"/>
  <c r="O491" i="5"/>
  <c r="C491" i="5"/>
  <c r="I490" i="5"/>
  <c r="O489" i="5"/>
  <c r="C489" i="5"/>
  <c r="I488" i="5"/>
  <c r="I460" i="5"/>
  <c r="I459" i="5"/>
  <c r="O458" i="5"/>
  <c r="C458" i="5"/>
  <c r="I457" i="5"/>
  <c r="O456" i="5"/>
  <c r="C456" i="5"/>
  <c r="O427" i="5"/>
  <c r="C427" i="5"/>
  <c r="I426" i="5"/>
  <c r="O425" i="5"/>
  <c r="C425" i="5"/>
  <c r="I424" i="5"/>
  <c r="I396" i="5"/>
  <c r="I395" i="5"/>
  <c r="I394" i="5"/>
  <c r="O393" i="5"/>
  <c r="C393" i="5"/>
  <c r="I392" i="5"/>
  <c r="I300" i="5"/>
  <c r="I299" i="5"/>
  <c r="O298" i="5"/>
  <c r="C298" i="5"/>
  <c r="I297" i="5"/>
  <c r="O296" i="5"/>
  <c r="C296" i="5"/>
  <c r="O270" i="5"/>
  <c r="C270" i="5"/>
  <c r="I269" i="5"/>
  <c r="O268" i="5"/>
  <c r="C268" i="5"/>
  <c r="I267" i="5"/>
  <c r="I213" i="5"/>
  <c r="I212" i="5"/>
  <c r="O211" i="5"/>
  <c r="C211" i="5"/>
  <c r="I210" i="5"/>
  <c r="O209" i="5"/>
  <c r="C209" i="5"/>
  <c r="I123" i="5"/>
  <c r="I122" i="5"/>
  <c r="O121" i="5"/>
  <c r="C121" i="5"/>
  <c r="I120" i="5"/>
  <c r="O119" i="5"/>
  <c r="C119" i="5"/>
  <c r="I93" i="5"/>
  <c r="I92" i="5"/>
  <c r="O91" i="5"/>
  <c r="C91" i="5"/>
  <c r="I90" i="5"/>
  <c r="Q587" i="5"/>
  <c r="Q555" i="5"/>
  <c r="C520" i="5"/>
  <c r="O520" i="5"/>
  <c r="I521" i="5"/>
  <c r="C522" i="5"/>
  <c r="O522" i="5"/>
  <c r="I523" i="5"/>
  <c r="C524" i="5"/>
  <c r="C737" i="5"/>
  <c r="AB737" i="5" s="1"/>
  <c r="I652" i="5"/>
  <c r="I651" i="5"/>
  <c r="O650" i="5"/>
  <c r="C650" i="5"/>
  <c r="I649" i="5"/>
  <c r="O648" i="5"/>
  <c r="C648" i="5"/>
  <c r="C619" i="5"/>
  <c r="I619" i="5"/>
  <c r="O618" i="5"/>
  <c r="C617" i="5"/>
  <c r="I617" i="5"/>
  <c r="I616" i="5"/>
  <c r="I588" i="5"/>
  <c r="O587" i="5"/>
  <c r="C587" i="5"/>
  <c r="I586" i="5"/>
  <c r="O585" i="5"/>
  <c r="C585" i="5"/>
  <c r="I584" i="5"/>
  <c r="I556" i="5"/>
  <c r="O555" i="5"/>
  <c r="C555" i="5"/>
  <c r="I554" i="5"/>
  <c r="O553" i="5"/>
  <c r="C553" i="5"/>
  <c r="I552" i="5"/>
  <c r="I492" i="5"/>
  <c r="I491" i="5"/>
  <c r="O490" i="5"/>
  <c r="C490" i="5"/>
  <c r="I489" i="5"/>
  <c r="O488" i="5"/>
  <c r="C488" i="5"/>
  <c r="O459" i="5"/>
  <c r="C459" i="5"/>
  <c r="I458" i="5"/>
  <c r="O457" i="5"/>
  <c r="C457" i="5"/>
  <c r="I456" i="5"/>
  <c r="I428" i="5"/>
  <c r="I427" i="5"/>
  <c r="O426" i="5"/>
  <c r="C426" i="5"/>
  <c r="I425" i="5"/>
  <c r="O424" i="5"/>
  <c r="C424" i="5"/>
  <c r="O395" i="5"/>
  <c r="O394" i="5"/>
  <c r="C394" i="5"/>
  <c r="I393" i="5"/>
  <c r="O392" i="5"/>
  <c r="C392" i="5"/>
  <c r="O299" i="5"/>
  <c r="C299" i="5"/>
  <c r="I298" i="5"/>
  <c r="O297" i="5"/>
  <c r="C297" i="5"/>
  <c r="I296" i="5"/>
  <c r="I271" i="5"/>
  <c r="I270" i="5"/>
  <c r="O269" i="5"/>
  <c r="C269" i="5"/>
  <c r="I268" i="5"/>
  <c r="O267" i="5"/>
  <c r="C267" i="5"/>
  <c r="O212" i="5"/>
  <c r="C212" i="5"/>
  <c r="Q651" i="5"/>
  <c r="Q619" i="5"/>
  <c r="I520" i="5"/>
  <c r="C521" i="5"/>
  <c r="O521" i="5"/>
  <c r="I522" i="5"/>
  <c r="C523" i="5"/>
  <c r="I524" i="5"/>
  <c r="O210" i="5"/>
  <c r="Q122" i="5"/>
  <c r="I121" i="5"/>
  <c r="C92" i="5"/>
  <c r="O89" i="5"/>
  <c r="C89" i="5"/>
  <c r="I63" i="5"/>
  <c r="I62" i="5"/>
  <c r="O61" i="5"/>
  <c r="C60" i="5"/>
  <c r="I60" i="5"/>
  <c r="O59" i="5"/>
  <c r="C548" i="5"/>
  <c r="AB548" i="5" s="1"/>
  <c r="C173" i="5"/>
  <c r="O541" i="5"/>
  <c r="Q730" i="5"/>
  <c r="B352" i="5"/>
  <c r="C181" i="5"/>
  <c r="O330" i="5"/>
  <c r="O508" i="5"/>
  <c r="B677" i="5"/>
  <c r="C386" i="5"/>
  <c r="AB386" i="5" s="1"/>
  <c r="G316" i="5"/>
  <c r="C319" i="5"/>
  <c r="C762" i="5"/>
  <c r="E765" i="5" s="1"/>
  <c r="C679" i="5"/>
  <c r="B639" i="5"/>
  <c r="E646" i="5" s="1"/>
  <c r="C353" i="5"/>
  <c r="AB353" i="5" s="1"/>
  <c r="I199" i="5"/>
  <c r="B796" i="5"/>
  <c r="C417" i="5"/>
  <c r="AB417" i="5" s="1"/>
  <c r="I151" i="5"/>
  <c r="M509" i="5"/>
  <c r="G199" i="5"/>
  <c r="G50" i="5"/>
  <c r="E445" i="5"/>
  <c r="B112" i="5"/>
  <c r="E117" i="5" s="1"/>
  <c r="I700" i="5"/>
  <c r="C371" i="5"/>
  <c r="B173" i="5"/>
  <c r="C819" i="5"/>
  <c r="AB819" i="5" s="1"/>
  <c r="C113" i="5"/>
  <c r="AB113" i="5" s="1"/>
  <c r="Q699" i="5"/>
  <c r="C467" i="5"/>
  <c r="C229" i="5"/>
  <c r="C82" i="5"/>
  <c r="E87" i="5" s="1"/>
  <c r="O683" i="5"/>
  <c r="E170" i="5"/>
  <c r="Q731" i="5"/>
  <c r="C238" i="5"/>
  <c r="C199" i="5"/>
  <c r="I710" i="5"/>
  <c r="C531" i="5"/>
  <c r="M760" i="5"/>
  <c r="C146" i="5"/>
  <c r="AB146" i="5" s="1"/>
  <c r="O363" i="5"/>
  <c r="C541" i="5"/>
  <c r="B640" i="5"/>
  <c r="C818" i="5"/>
  <c r="Q700" i="5"/>
  <c r="E604" i="5"/>
  <c r="G476" i="5"/>
  <c r="I239" i="5"/>
  <c r="B87" i="5"/>
  <c r="I760" i="5"/>
  <c r="G509" i="5"/>
  <c r="C348" i="5"/>
  <c r="I711" i="5"/>
  <c r="C480" i="5"/>
  <c r="AB480" i="5" s="1"/>
  <c r="C349" i="5"/>
  <c r="C203" i="5"/>
  <c r="AB203" i="5" s="1"/>
  <c r="G109" i="5"/>
  <c r="C791" i="5"/>
  <c r="AB791" i="5" s="1"/>
  <c r="Q713" i="5"/>
  <c r="C380" i="5"/>
  <c r="C249" i="5"/>
  <c r="Q459" i="5"/>
  <c r="Q270" i="5"/>
  <c r="I211" i="5"/>
  <c r="C122" i="5"/>
  <c r="O92" i="5"/>
  <c r="Q62" i="5"/>
  <c r="C794" i="5"/>
  <c r="AB794" i="5" s="1"/>
  <c r="C388" i="5"/>
  <c r="AB388" i="5" s="1"/>
  <c r="O523" i="5"/>
  <c r="O122" i="5"/>
  <c r="O93" i="5"/>
  <c r="C356" i="5"/>
  <c r="AB356" i="5" s="1"/>
  <c r="Q427" i="5"/>
  <c r="Q212" i="5"/>
  <c r="O123" i="5"/>
  <c r="I119" i="5"/>
  <c r="C90" i="5"/>
  <c r="I89" i="5"/>
  <c r="O63" i="5"/>
  <c r="O62" i="5"/>
  <c r="C61" i="5"/>
  <c r="I61" i="5"/>
  <c r="O60" i="5"/>
  <c r="C59" i="5"/>
  <c r="I59" i="5"/>
  <c r="C706" i="5"/>
  <c r="AB706" i="5" s="1"/>
  <c r="C484" i="5"/>
  <c r="AB484" i="5" s="1"/>
  <c r="C324" i="5"/>
  <c r="AB324" i="5" s="1"/>
  <c r="I209" i="5"/>
  <c r="C120" i="5"/>
  <c r="O90" i="5"/>
  <c r="C612" i="5"/>
  <c r="AB612" i="5" s="1"/>
  <c r="C452" i="5"/>
  <c r="AB452" i="5" s="1"/>
  <c r="Q299" i="5"/>
  <c r="Q395" i="5"/>
  <c r="C786" i="5"/>
  <c r="C700" i="5"/>
  <c r="K573" i="5"/>
  <c r="C448" i="5"/>
  <c r="AB448" i="5" s="1"/>
  <c r="E317" i="5"/>
  <c r="O240" i="5"/>
  <c r="C51" i="5"/>
  <c r="C787" i="5"/>
  <c r="Q682" i="5"/>
  <c r="G572" i="5"/>
  <c r="G477" i="5"/>
  <c r="B384" i="5"/>
  <c r="I287" i="5"/>
  <c r="E199" i="5"/>
  <c r="K79" i="5"/>
  <c r="U4" i="5"/>
  <c r="G51" i="5"/>
  <c r="O150" i="5"/>
  <c r="I328" i="5"/>
  <c r="C403" i="5"/>
  <c r="C514" i="5"/>
  <c r="AB514" i="5" s="1"/>
  <c r="E637" i="5"/>
  <c r="I743" i="5"/>
  <c r="B765" i="5"/>
  <c r="I22" i="5"/>
  <c r="M110" i="5"/>
  <c r="I242" i="5"/>
  <c r="B319" i="5"/>
  <c r="E326" i="5" s="1"/>
  <c r="I363" i="5"/>
  <c r="C579" i="5"/>
  <c r="AB579" i="5" s="1"/>
  <c r="C637" i="5"/>
  <c r="C793" i="5"/>
  <c r="AB793" i="5" s="1"/>
  <c r="B207" i="5"/>
  <c r="I316" i="5"/>
  <c r="Q363" i="5"/>
  <c r="O540" i="5"/>
  <c r="C659" i="5"/>
  <c r="C712" i="5"/>
  <c r="B486" i="5"/>
  <c r="G604" i="5"/>
  <c r="I679" i="5"/>
  <c r="O742" i="5"/>
  <c r="C821" i="5"/>
  <c r="AB821" i="5" s="1"/>
  <c r="I241" i="5"/>
  <c r="M21" i="5"/>
  <c r="C190" i="5"/>
  <c r="C329" i="5"/>
  <c r="C508" i="5"/>
  <c r="O744" i="5"/>
  <c r="C435" i="5"/>
  <c r="C641" i="5"/>
  <c r="AB641" i="5" s="1"/>
  <c r="C730" i="5"/>
  <c r="B117" i="5"/>
  <c r="I258" i="5"/>
  <c r="C383" i="5"/>
  <c r="E390" i="5" s="1"/>
  <c r="C578" i="5"/>
  <c r="AB578" i="5" s="1"/>
  <c r="C767" i="5"/>
  <c r="C642" i="5"/>
  <c r="AB642" i="5" s="1"/>
  <c r="C512" i="5"/>
  <c r="AB512" i="5" s="1"/>
  <c r="C241" i="5"/>
  <c r="K787" i="5"/>
  <c r="O509" i="5"/>
  <c r="I540" i="5"/>
  <c r="C690" i="5"/>
  <c r="I669" i="5"/>
  <c r="E110" i="5"/>
  <c r="C451" i="5"/>
  <c r="AB451" i="5" s="1"/>
  <c r="I152" i="5"/>
  <c r="C671" i="5"/>
  <c r="E677" i="5" s="1"/>
  <c r="I200" i="5"/>
  <c r="B54" i="5"/>
  <c r="C316" i="5"/>
  <c r="C672" i="5"/>
  <c r="AB672" i="5" s="1"/>
  <c r="C180" i="5"/>
  <c r="B646" i="5"/>
  <c r="C84" i="5"/>
  <c r="AB84" i="5" s="1"/>
  <c r="B422" i="5"/>
  <c r="O32" i="5"/>
  <c r="E477" i="5"/>
  <c r="K21" i="5"/>
  <c r="E287" i="5"/>
  <c r="M508" i="5"/>
  <c r="C798" i="5"/>
  <c r="E444" i="5"/>
  <c r="C151" i="5"/>
  <c r="C607" i="5"/>
  <c r="E614" i="5" s="1"/>
  <c r="I699" i="5"/>
  <c r="C703" i="5"/>
  <c r="AB703" i="5" s="1"/>
  <c r="E349" i="5"/>
  <c r="I31" i="5"/>
  <c r="C143" i="5"/>
  <c r="AB143" i="5" s="1"/>
  <c r="B818" i="5"/>
  <c r="E823" i="5" s="1"/>
  <c r="I317" i="5"/>
  <c r="C806" i="5"/>
  <c r="C415" i="5"/>
  <c r="E422" i="5" s="1"/>
  <c r="Q92" i="5"/>
  <c r="E178" i="5" l="1"/>
</calcChain>
</file>

<file path=xl/sharedStrings.xml><?xml version="1.0" encoding="utf-8"?>
<sst xmlns="http://schemas.openxmlformats.org/spreadsheetml/2006/main" count="122" uniqueCount="72">
  <si>
    <t>1А</t>
  </si>
  <si>
    <t>2А</t>
  </si>
  <si>
    <t>1Б</t>
  </si>
  <si>
    <t>2Б</t>
  </si>
  <si>
    <t>А</t>
  </si>
  <si>
    <t>Б</t>
  </si>
  <si>
    <t>ENG</t>
  </si>
  <si>
    <t>7.1.</t>
  </si>
  <si>
    <t>5.1.</t>
  </si>
  <si>
    <t>5.2.</t>
  </si>
  <si>
    <t>5.3.</t>
  </si>
  <si>
    <t>7.2.</t>
  </si>
  <si>
    <t>8.1.</t>
  </si>
  <si>
    <t>4.0 - 4.9</t>
  </si>
  <si>
    <t>3.0 - 3.1</t>
  </si>
  <si>
    <t>4.0 - 4.2</t>
  </si>
  <si>
    <t>1.0 - 1.1</t>
  </si>
  <si>
    <t>4.0 - 4.1</t>
  </si>
  <si>
    <t>5.0 - 5.1</t>
  </si>
  <si>
    <t>3.0 - 3.3</t>
  </si>
  <si>
    <t>4.0 - 4.4</t>
  </si>
  <si>
    <t>5.0 - 5.5</t>
  </si>
  <si>
    <t>6.0 - 6.6</t>
  </si>
  <si>
    <t>1.0.</t>
  </si>
  <si>
    <t>7.0 - 7.1</t>
  </si>
  <si>
    <t>2.0 - 2.2</t>
  </si>
  <si>
    <t>2А.0 - 2А.1</t>
  </si>
  <si>
    <t>3А.0 - 3А.2</t>
  </si>
  <si>
    <t>7.0 - 7.2</t>
  </si>
  <si>
    <t>6.0 - 6.1</t>
  </si>
  <si>
    <t>6А.5</t>
  </si>
  <si>
    <t>1.0 - 1.3</t>
  </si>
  <si>
    <t>3.0 - 3.5</t>
  </si>
  <si>
    <t>4.0 - 4.8</t>
  </si>
  <si>
    <t>5.0 - 5.6</t>
  </si>
  <si>
    <t>6.0 - 6.4</t>
  </si>
  <si>
    <t>8.0 - 8.5</t>
  </si>
  <si>
    <t>1.0 - 1.8</t>
  </si>
  <si>
    <t>2.1 - 2.4</t>
  </si>
  <si>
    <t>3.0 - 3.4</t>
  </si>
  <si>
    <t>1.0 - 1.5</t>
  </si>
  <si>
    <t>1.6 - 1.8</t>
  </si>
  <si>
    <t>4.5 - 4.6</t>
  </si>
  <si>
    <t>L1.0 - 1.1</t>
  </si>
  <si>
    <t>L3.0 - 3.2</t>
  </si>
  <si>
    <t>L4.0 - 4.1</t>
  </si>
  <si>
    <t>L5.0 - 5.1</t>
  </si>
  <si>
    <t>L6.0 - 6.1</t>
  </si>
  <si>
    <t>Ціна 1</t>
  </si>
  <si>
    <t>Ціна 2</t>
  </si>
  <si>
    <t>Ціна 3</t>
  </si>
  <si>
    <t>Ціна 4</t>
  </si>
  <si>
    <t>Ціна 5</t>
  </si>
  <si>
    <t>Ціна 6</t>
  </si>
  <si>
    <t>Ціна 7</t>
  </si>
  <si>
    <t>Ціна 8</t>
  </si>
  <si>
    <t>без ПДВ</t>
  </si>
  <si>
    <t>UA</t>
  </si>
  <si>
    <t xml:space="preserve"> </t>
  </si>
  <si>
    <t>Ціна 9</t>
  </si>
  <si>
    <t>Ціна 10</t>
  </si>
  <si>
    <t>1А.1</t>
  </si>
  <si>
    <t>2А.1</t>
  </si>
  <si>
    <t>2.0 - 2.1</t>
  </si>
  <si>
    <t>6А.0 - 6А.1</t>
  </si>
  <si>
    <t>сотове заповн.</t>
  </si>
  <si>
    <t xml:space="preserve"> - </t>
  </si>
  <si>
    <t>накладка на завіси (1 к-т)</t>
  </si>
  <si>
    <t>циліндр несиметричний</t>
  </si>
  <si>
    <t>завіса Prestige (1 шт)</t>
  </si>
  <si>
    <t>дверна ручка</t>
  </si>
  <si>
    <t>див. Таблицю Ручки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</si>
</sst>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#,##0.0"/>
    <numFmt numFmtId="166" formatCode="#,##0\ [$грн.-422]"/>
  </numFmts>
  <fonts count="55" x14ac:knownFonts="1">
    <font>
      <sz val="10"/>
      <name val="Arial Cyr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Arial Cyr"/>
      <charset val="204"/>
    </font>
    <font>
      <sz val="8"/>
      <color indexed="9"/>
      <name val="Arial Cyr"/>
      <charset val="204"/>
    </font>
    <font>
      <sz val="10"/>
      <color indexed="9"/>
      <name val="Arial Cyr"/>
      <charset val="204"/>
    </font>
    <font>
      <sz val="8"/>
      <color indexed="22"/>
      <name val="Arial Cyr"/>
      <charset val="204"/>
    </font>
    <font>
      <b/>
      <sz val="10"/>
      <color indexed="17"/>
      <name val="Arial"/>
      <family val="2"/>
      <charset val="204"/>
    </font>
    <font>
      <sz val="8"/>
      <name val="Arial"/>
      <family val="2"/>
      <charset val="204"/>
    </font>
    <font>
      <b/>
      <sz val="10"/>
      <color indexed="17"/>
      <name val="Times New Roman"/>
      <family val="1"/>
      <charset val="204"/>
    </font>
    <font>
      <b/>
      <i/>
      <sz val="10"/>
      <name val="Arial Cyr"/>
      <charset val="204"/>
    </font>
    <font>
      <i/>
      <sz val="8"/>
      <name val="Arial Cyr"/>
      <charset val="204"/>
    </font>
    <font>
      <u/>
      <sz val="8.5"/>
      <color indexed="12"/>
      <name val="Arial Cyr"/>
      <charset val="204"/>
    </font>
    <font>
      <sz val="10"/>
      <name val="Times New Roman"/>
      <family val="1"/>
      <charset val="204"/>
    </font>
    <font>
      <b/>
      <i/>
      <sz val="8"/>
      <color indexed="12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b/>
      <sz val="8"/>
      <color indexed="10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b/>
      <sz val="8"/>
      <color indexed="10"/>
      <name val="Arial"/>
      <family val="2"/>
      <charset val="204"/>
    </font>
    <font>
      <b/>
      <sz val="8"/>
      <color indexed="12"/>
      <name val="Times New Roman"/>
      <family val="1"/>
      <charset val="204"/>
    </font>
    <font>
      <b/>
      <sz val="7"/>
      <color indexed="12"/>
      <name val="Times New Roman"/>
      <family val="1"/>
      <charset val="204"/>
    </font>
    <font>
      <sz val="8"/>
      <color indexed="10"/>
      <name val="Times New Roman"/>
      <family val="1"/>
      <charset val="204"/>
    </font>
    <font>
      <i/>
      <sz val="8"/>
      <color indexed="12"/>
      <name val="Times New Roman"/>
      <family val="1"/>
      <charset val="204"/>
    </font>
    <font>
      <sz val="8"/>
      <color indexed="9"/>
      <name val="Arial"/>
      <family val="2"/>
      <charset val="204"/>
    </font>
    <font>
      <b/>
      <sz val="8"/>
      <color indexed="12"/>
      <name val="Arial"/>
      <family val="2"/>
      <charset val="204"/>
    </font>
    <font>
      <sz val="8"/>
      <color indexed="23"/>
      <name val="Arial Cyr"/>
      <charset val="204"/>
    </font>
    <font>
      <b/>
      <i/>
      <sz val="8"/>
      <color indexed="23"/>
      <name val="Arial Cyr"/>
      <charset val="204"/>
    </font>
    <font>
      <sz val="10"/>
      <color indexed="23"/>
      <name val="Arial Cyr"/>
      <charset val="204"/>
    </font>
    <font>
      <b/>
      <sz val="10"/>
      <color indexed="23"/>
      <name val="Arial Cyr"/>
      <charset val="204"/>
    </font>
    <font>
      <sz val="10"/>
      <color indexed="10"/>
      <name val="Arial Cyr"/>
      <charset val="204"/>
    </font>
    <font>
      <sz val="10"/>
      <color indexed="10"/>
      <name val="Arial"/>
      <family val="2"/>
      <charset val="204"/>
    </font>
    <font>
      <b/>
      <sz val="10"/>
      <color indexed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i/>
      <sz val="9"/>
      <name val="Arial Cyr"/>
      <charset val="204"/>
    </font>
    <font>
      <i/>
      <u/>
      <sz val="7"/>
      <name val="Arial Cyr"/>
      <charset val="204"/>
    </font>
    <font>
      <b/>
      <sz val="8"/>
      <color rgb="FFFF0000"/>
      <name val="Arial"/>
      <family val="2"/>
      <charset val="204"/>
    </font>
    <font>
      <sz val="10"/>
      <color rgb="FFFF0000"/>
      <name val="Arial Cyr"/>
      <charset val="204"/>
    </font>
    <font>
      <sz val="8"/>
      <color theme="0" tint="-0.499984740745262"/>
      <name val="Arial"/>
      <family val="2"/>
      <charset val="204"/>
    </font>
    <font>
      <b/>
      <sz val="8"/>
      <color rgb="FF00B050"/>
      <name val="Arial"/>
      <family val="2"/>
      <charset val="204"/>
    </font>
    <font>
      <sz val="10"/>
      <color rgb="FF00B050"/>
      <name val="Arial"/>
      <family val="2"/>
      <charset val="204"/>
    </font>
    <font>
      <sz val="8"/>
      <color theme="0" tint="-0.499984740745262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0"/>
      <color rgb="FF7030A0"/>
      <name val="Arial"/>
      <family val="2"/>
      <charset val="204"/>
    </font>
    <font>
      <b/>
      <sz val="10"/>
      <color theme="0"/>
      <name val="Arial Cyr"/>
      <charset val="204"/>
    </font>
    <font>
      <b/>
      <sz val="10"/>
      <color rgb="FF7030A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64">
    <xf numFmtId="0" fontId="0" fillId="0" borderId="0" xfId="0"/>
    <xf numFmtId="0" fontId="0" fillId="0" borderId="0" xfId="0" applyProtection="1">
      <protection hidden="1"/>
    </xf>
    <xf numFmtId="9" fontId="10" fillId="0" borderId="0" xfId="0" applyNumberFormat="1" applyFont="1" applyProtection="1">
      <protection hidden="1"/>
    </xf>
    <xf numFmtId="0" fontId="10" fillId="2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8" fillId="0" borderId="0" xfId="0" applyFont="1" applyAlignment="1" applyProtection="1"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7" fillId="3" borderId="2" xfId="0" applyFont="1" applyFill="1" applyBorder="1" applyAlignment="1" applyProtection="1">
      <alignment horizontal="center" wrapText="1"/>
      <protection hidden="1"/>
    </xf>
    <xf numFmtId="0" fontId="0" fillId="0" borderId="0" xfId="0" applyFill="1" applyProtection="1">
      <protection hidden="1"/>
    </xf>
    <xf numFmtId="0" fontId="2" fillId="0" borderId="3" xfId="0" applyFont="1" applyFill="1" applyBorder="1" applyAlignment="1" applyProtection="1">
      <alignment horizontal="center" wrapText="1"/>
      <protection hidden="1"/>
    </xf>
    <xf numFmtId="0" fontId="2" fillId="0" borderId="0" xfId="0" applyFont="1" applyFill="1" applyBorder="1" applyAlignment="1" applyProtection="1">
      <alignment horizont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left" vertical="center" indent="2"/>
      <protection hidden="1"/>
    </xf>
    <xf numFmtId="3" fontId="6" fillId="0" borderId="4" xfId="0" applyNumberFormat="1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left" vertical="center" indent="2"/>
      <protection hidden="1"/>
    </xf>
    <xf numFmtId="3" fontId="6" fillId="0" borderId="5" xfId="0" applyNumberFormat="1" applyFont="1" applyBorder="1" applyAlignment="1" applyProtection="1">
      <alignment horizontal="center" vertical="center" wrapText="1"/>
      <protection hidden="1"/>
    </xf>
    <xf numFmtId="2" fontId="11" fillId="0" borderId="0" xfId="0" applyNumberFormat="1" applyFont="1" applyAlignment="1" applyProtection="1">
      <alignment horizontal="center" vertical="center"/>
      <protection hidden="1"/>
    </xf>
    <xf numFmtId="4" fontId="0" fillId="0" borderId="0" xfId="0" applyNumberFormat="1" applyProtection="1">
      <protection hidden="1"/>
    </xf>
    <xf numFmtId="3" fontId="0" fillId="0" borderId="0" xfId="0" applyNumberFormat="1" applyProtection="1">
      <protection hidden="1"/>
    </xf>
    <xf numFmtId="0" fontId="6" fillId="0" borderId="6" xfId="0" applyFont="1" applyBorder="1" applyAlignment="1" applyProtection="1">
      <alignment horizontal="left" vertical="center" indent="2"/>
      <protection hidden="1"/>
    </xf>
    <xf numFmtId="3" fontId="6" fillId="0" borderId="6" xfId="0" applyNumberFormat="1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3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2" fontId="0" fillId="0" borderId="0" xfId="0" applyNumberFormat="1" applyProtection="1">
      <protection hidden="1"/>
    </xf>
    <xf numFmtId="0" fontId="18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3" fontId="0" fillId="0" borderId="0" xfId="0" applyNumberFormat="1" applyFill="1" applyProtection="1">
      <protection hidden="1"/>
    </xf>
    <xf numFmtId="3" fontId="8" fillId="0" borderId="0" xfId="0" applyNumberFormat="1" applyFont="1" applyProtection="1">
      <protection hidden="1"/>
    </xf>
    <xf numFmtId="0" fontId="2" fillId="0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Fill="1" applyBorder="1" applyProtection="1">
      <protection hidden="1"/>
    </xf>
    <xf numFmtId="3" fontId="6" fillId="0" borderId="1" xfId="0" applyNumberFormat="1" applyFont="1" applyBorder="1" applyAlignment="1" applyProtection="1">
      <alignment horizontal="center" vertical="center" wrapText="1"/>
      <protection hidden="1"/>
    </xf>
    <xf numFmtId="3" fontId="8" fillId="0" borderId="0" xfId="0" applyNumberFormat="1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2" fontId="0" fillId="0" borderId="0" xfId="0" applyNumberFormat="1" applyFill="1" applyBorder="1" applyProtection="1">
      <protection hidden="1"/>
    </xf>
    <xf numFmtId="4" fontId="8" fillId="0" borderId="0" xfId="0" applyNumberFormat="1" applyFont="1" applyAlignment="1" applyProtection="1">
      <alignment horizontal="center"/>
      <protection hidden="1"/>
    </xf>
    <xf numFmtId="4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protection hidden="1"/>
    </xf>
    <xf numFmtId="0" fontId="6" fillId="4" borderId="1" xfId="0" applyFont="1" applyFill="1" applyBorder="1" applyAlignment="1" applyProtection="1">
      <alignment horizontal="left" vertical="center" wrapText="1" indent="2"/>
      <protection hidden="1"/>
    </xf>
    <xf numFmtId="0" fontId="6" fillId="0" borderId="7" xfId="0" applyFont="1" applyFill="1" applyBorder="1" applyAlignment="1" applyProtection="1">
      <alignment vertical="center" wrapText="1"/>
      <protection hidden="1"/>
    </xf>
    <xf numFmtId="4" fontId="2" fillId="3" borderId="8" xfId="0" applyNumberFormat="1" applyFont="1" applyFill="1" applyBorder="1" applyAlignment="1" applyProtection="1">
      <alignment horizontal="center" vertical="center" wrapText="1"/>
      <protection hidden="1"/>
    </xf>
    <xf numFmtId="3" fontId="6" fillId="0" borderId="7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9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6" xfId="0" applyNumberFormat="1" applyFont="1" applyBorder="1" applyAlignment="1" applyProtection="1">
      <alignment horizontal="center" vertical="center" wrapText="1"/>
      <protection hidden="1"/>
    </xf>
    <xf numFmtId="4" fontId="2" fillId="3" borderId="10" xfId="0" applyNumberFormat="1" applyFont="1" applyFill="1" applyBorder="1" applyAlignment="1" applyProtection="1">
      <alignment horizontal="center" vertical="center" wrapText="1"/>
      <protection hidden="1"/>
    </xf>
    <xf numFmtId="9" fontId="8" fillId="3" borderId="11" xfId="0" applyNumberFormat="1" applyFont="1" applyFill="1" applyBorder="1" applyAlignment="1" applyProtection="1">
      <alignment horizontal="center"/>
      <protection locked="0" hidden="1"/>
    </xf>
    <xf numFmtId="0" fontId="13" fillId="0" borderId="0" xfId="0" applyFont="1" applyProtection="1">
      <protection hidden="1"/>
    </xf>
    <xf numFmtId="9" fontId="12" fillId="0" borderId="0" xfId="2" applyFont="1" applyProtection="1">
      <protection hidden="1"/>
    </xf>
    <xf numFmtId="0" fontId="17" fillId="0" borderId="12" xfId="1" applyBorder="1" applyAlignment="1" applyProtection="1">
      <alignment horizontal="left" indent="1"/>
      <protection hidden="1"/>
    </xf>
    <xf numFmtId="0" fontId="13" fillId="0" borderId="12" xfId="0" applyFont="1" applyBorder="1" applyAlignment="1" applyProtection="1">
      <alignment horizontal="right"/>
      <protection hidden="1"/>
    </xf>
    <xf numFmtId="166" fontId="13" fillId="0" borderId="12" xfId="0" applyNumberFormat="1" applyFont="1" applyBorder="1" applyAlignment="1" applyProtection="1">
      <alignment horizontal="left"/>
      <protection hidden="1"/>
    </xf>
    <xf numFmtId="0" fontId="17" fillId="0" borderId="13" xfId="1" applyBorder="1" applyAlignment="1" applyProtection="1">
      <alignment horizontal="left" indent="1"/>
      <protection hidden="1"/>
    </xf>
    <xf numFmtId="0" fontId="13" fillId="0" borderId="13" xfId="0" applyFont="1" applyBorder="1" applyAlignment="1" applyProtection="1">
      <alignment horizontal="right"/>
      <protection hidden="1"/>
    </xf>
    <xf numFmtId="166" fontId="13" fillId="0" borderId="13" xfId="0" applyNumberFormat="1" applyFont="1" applyBorder="1" applyAlignment="1" applyProtection="1">
      <alignment horizontal="left"/>
      <protection hidden="1"/>
    </xf>
    <xf numFmtId="0" fontId="13" fillId="0" borderId="0" xfId="0" applyFont="1" applyAlignment="1" applyProtection="1">
      <alignment horizontal="left" indent="2"/>
      <protection hidden="1"/>
    </xf>
    <xf numFmtId="0" fontId="13" fillId="0" borderId="0" xfId="0" applyFont="1" applyAlignment="1" applyProtection="1">
      <alignment horizontal="left" indent="1"/>
      <protection hidden="1"/>
    </xf>
    <xf numFmtId="2" fontId="20" fillId="0" borderId="0" xfId="0" applyNumberFormat="1" applyFont="1" applyProtection="1">
      <protection hidden="1"/>
    </xf>
    <xf numFmtId="4" fontId="0" fillId="0" borderId="0" xfId="0" applyNumberFormat="1" applyFill="1" applyProtection="1">
      <protection hidden="1"/>
    </xf>
    <xf numFmtId="4" fontId="2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2" fillId="0" borderId="0" xfId="0" applyNumberFormat="1" applyFont="1" applyFill="1" applyBorder="1" applyAlignment="1" applyProtection="1">
      <alignment horizontal="center" wrapText="1"/>
      <protection hidden="1"/>
    </xf>
    <xf numFmtId="0" fontId="5" fillId="0" borderId="0" xfId="0" applyFont="1" applyProtection="1">
      <protection hidden="1"/>
    </xf>
    <xf numFmtId="14" fontId="21" fillId="0" borderId="0" xfId="0" applyNumberFormat="1" applyFont="1" applyAlignment="1" applyProtection="1">
      <alignment horizontal="center"/>
      <protection hidden="1"/>
    </xf>
    <xf numFmtId="2" fontId="8" fillId="0" borderId="0" xfId="0" applyNumberFormat="1" applyFont="1" applyAlignment="1" applyProtection="1">
      <protection hidden="1"/>
    </xf>
    <xf numFmtId="4" fontId="2" fillId="3" borderId="14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15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16" xfId="0" applyFont="1" applyBorder="1" applyAlignment="1" applyProtection="1">
      <alignment horizontal="right"/>
      <protection hidden="1"/>
    </xf>
    <xf numFmtId="3" fontId="6" fillId="0" borderId="0" xfId="0" applyNumberFormat="1" applyFont="1" applyBorder="1" applyAlignment="1" applyProtection="1">
      <alignment horizontal="center" vertical="center" wrapText="1"/>
      <protection hidden="1"/>
    </xf>
    <xf numFmtId="3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3" fontId="6" fillId="0" borderId="5" xfId="0" applyNumberFormat="1" applyFont="1" applyFill="1" applyBorder="1" applyAlignment="1" applyProtection="1">
      <alignment horizontal="center" vertical="center" wrapText="1"/>
      <protection hidden="1"/>
    </xf>
    <xf numFmtId="3" fontId="6" fillId="0" borderId="6" xfId="0" applyNumberFormat="1" applyFont="1" applyFill="1" applyBorder="1" applyAlignment="1" applyProtection="1">
      <alignment horizontal="center" vertical="center" wrapText="1"/>
      <protection hidden="1"/>
    </xf>
    <xf numFmtId="2" fontId="5" fillId="0" borderId="0" xfId="0" applyNumberFormat="1" applyFont="1" applyAlignment="1" applyProtection="1">
      <alignment horizontal="center" vertical="center"/>
      <protection hidden="1"/>
    </xf>
    <xf numFmtId="4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 applyProtection="1">
      <alignment horizontal="left" vertical="center" wrapText="1"/>
      <protection hidden="1"/>
    </xf>
    <xf numFmtId="0" fontId="6" fillId="0" borderId="15" xfId="0" applyFont="1" applyBorder="1" applyAlignment="1" applyProtection="1">
      <alignment horizontal="left" vertical="center" indent="2"/>
      <protection hidden="1"/>
    </xf>
    <xf numFmtId="165" fontId="6" fillId="0" borderId="5" xfId="0" applyNumberFormat="1" applyFont="1" applyBorder="1" applyAlignment="1" applyProtection="1">
      <alignment horizontal="center" vertical="center" wrapText="1"/>
      <protection hidden="1"/>
    </xf>
    <xf numFmtId="0" fontId="24" fillId="0" borderId="13" xfId="0" applyFont="1" applyBorder="1" applyAlignment="1" applyProtection="1">
      <alignment horizontal="left"/>
      <protection hidden="1"/>
    </xf>
    <xf numFmtId="0" fontId="24" fillId="0" borderId="12" xfId="0" applyFont="1" applyBorder="1" applyAlignment="1" applyProtection="1">
      <alignment horizontal="left"/>
      <protection hidden="1"/>
    </xf>
    <xf numFmtId="0" fontId="24" fillId="0" borderId="0" xfId="0" applyFont="1" applyAlignment="1" applyProtection="1">
      <alignment horizontal="right"/>
      <protection hidden="1"/>
    </xf>
    <xf numFmtId="0" fontId="25" fillId="0" borderId="0" xfId="0" applyFont="1" applyBorder="1" applyAlignment="1" applyProtection="1">
      <alignment vertical="top" wrapText="1"/>
      <protection hidden="1"/>
    </xf>
    <xf numFmtId="0" fontId="19" fillId="0" borderId="0" xfId="1" applyFont="1" applyAlignment="1" applyProtection="1">
      <alignment horizontal="right"/>
      <protection hidden="1"/>
    </xf>
    <xf numFmtId="0" fontId="14" fillId="0" borderId="0" xfId="0" applyFont="1" applyFill="1" applyBorder="1" applyAlignment="1" applyProtection="1">
      <alignment horizontal="left" wrapText="1"/>
      <protection hidden="1"/>
    </xf>
    <xf numFmtId="0" fontId="23" fillId="0" borderId="3" xfId="0" applyFont="1" applyFill="1" applyBorder="1" applyAlignment="1" applyProtection="1">
      <alignment horizontal="center"/>
      <protection hidden="1"/>
    </xf>
    <xf numFmtId="0" fontId="6" fillId="4" borderId="14" xfId="0" applyFont="1" applyFill="1" applyBorder="1" applyAlignment="1" applyProtection="1">
      <alignment horizontal="right" vertical="center" wrapText="1"/>
      <protection hidden="1"/>
    </xf>
    <xf numFmtId="0" fontId="6" fillId="4" borderId="15" xfId="0" applyFont="1" applyFill="1" applyBorder="1" applyAlignment="1" applyProtection="1">
      <alignment horizontal="right" vertical="center" wrapText="1"/>
      <protection hidden="1"/>
    </xf>
    <xf numFmtId="3" fontId="6" fillId="0" borderId="14" xfId="0" applyNumberFormat="1" applyFont="1" applyBorder="1" applyAlignment="1" applyProtection="1">
      <alignment horizontal="center" vertical="center" wrapText="1"/>
      <protection hidden="1"/>
    </xf>
    <xf numFmtId="3" fontId="6" fillId="0" borderId="15" xfId="0" applyNumberFormat="1" applyFont="1" applyBorder="1" applyAlignment="1" applyProtection="1">
      <alignment horizontal="center" vertical="center" wrapText="1"/>
      <protection hidden="1"/>
    </xf>
    <xf numFmtId="4" fontId="0" fillId="0" borderId="0" xfId="0" applyNumberFormat="1" applyFill="1" applyBorder="1" applyProtection="1">
      <protection hidden="1"/>
    </xf>
    <xf numFmtId="0" fontId="19" fillId="0" borderId="0" xfId="1" applyFont="1" applyBorder="1" applyAlignment="1" applyProtection="1">
      <alignment horizontal="right"/>
      <protection hidden="1"/>
    </xf>
    <xf numFmtId="9" fontId="14" fillId="0" borderId="0" xfId="0" applyNumberFormat="1" applyFont="1" applyFill="1" applyBorder="1" applyAlignment="1" applyProtection="1">
      <alignment horizontal="left" wrapText="1"/>
      <protection hidden="1"/>
    </xf>
    <xf numFmtId="0" fontId="19" fillId="0" borderId="0" xfId="1" applyFont="1" applyFill="1" applyBorder="1" applyAlignment="1" applyProtection="1">
      <protection hidden="1"/>
    </xf>
    <xf numFmtId="0" fontId="23" fillId="0" borderId="0" xfId="0" applyFont="1" applyFill="1" applyBorder="1" applyAlignment="1" applyProtection="1">
      <alignment horizontal="center"/>
      <protection hidden="1"/>
    </xf>
    <xf numFmtId="0" fontId="19" fillId="0" borderId="0" xfId="1" applyFont="1" applyFill="1" applyBorder="1" applyAlignment="1" applyProtection="1">
      <alignment horizontal="right"/>
      <protection hidden="1"/>
    </xf>
    <xf numFmtId="3" fontId="27" fillId="0" borderId="0" xfId="0" applyNumberFormat="1" applyFont="1" applyFill="1" applyBorder="1" applyAlignment="1" applyProtection="1">
      <alignment horizontal="center" vertical="center" wrapText="1"/>
      <protection hidden="1"/>
    </xf>
    <xf numFmtId="3" fontId="22" fillId="0" borderId="0" xfId="0" applyNumberFormat="1" applyFont="1" applyFill="1" applyBorder="1" applyAlignment="1" applyProtection="1">
      <alignment horizontal="center" vertical="center" wrapText="1"/>
      <protection hidden="1"/>
    </xf>
    <xf numFmtId="3" fontId="22" fillId="0" borderId="0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12" xfId="1" applyBorder="1" applyAlignment="1" applyProtection="1">
      <alignment horizontal="left" indent="1"/>
    </xf>
    <xf numFmtId="0" fontId="13" fillId="0" borderId="0" xfId="0" applyFont="1" applyAlignment="1" applyProtection="1">
      <alignment horizontal="right"/>
      <protection hidden="1"/>
    </xf>
    <xf numFmtId="0" fontId="29" fillId="0" borderId="0" xfId="0" applyFont="1" applyProtection="1">
      <protection hidden="1"/>
    </xf>
    <xf numFmtId="9" fontId="13" fillId="0" borderId="0" xfId="0" applyNumberFormat="1" applyFont="1" applyProtection="1">
      <protection hidden="1"/>
    </xf>
    <xf numFmtId="0" fontId="30" fillId="5" borderId="3" xfId="0" applyFont="1" applyFill="1" applyBorder="1" applyAlignment="1" applyProtection="1">
      <alignment horizontal="center"/>
      <protection locked="0" hidden="1"/>
    </xf>
    <xf numFmtId="2" fontId="32" fillId="0" borderId="0" xfId="0" applyNumberFormat="1" applyFont="1" applyAlignme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64" fontId="1" fillId="0" borderId="12" xfId="0" applyNumberFormat="1" applyFont="1" applyFill="1" applyBorder="1" applyAlignment="1" applyProtection="1">
      <alignment horizontal="center"/>
      <protection locked="0" hidden="1"/>
    </xf>
    <xf numFmtId="0" fontId="33" fillId="0" borderId="0" xfId="0" applyFont="1" applyAlignment="1" applyProtection="1">
      <alignment horizontal="right"/>
      <protection hidden="1"/>
    </xf>
    <xf numFmtId="0" fontId="33" fillId="0" borderId="0" xfId="0" applyFont="1" applyProtection="1">
      <protection hidden="1"/>
    </xf>
    <xf numFmtId="9" fontId="34" fillId="0" borderId="16" xfId="0" applyNumberFormat="1" applyFont="1" applyFill="1" applyBorder="1" applyAlignment="1" applyProtection="1">
      <alignment horizontal="center"/>
      <protection locked="0" hidden="1"/>
    </xf>
    <xf numFmtId="0" fontId="6" fillId="0" borderId="14" xfId="0" applyFont="1" applyBorder="1" applyAlignment="1" applyProtection="1">
      <alignment horizontal="left" vertical="center" indent="2"/>
      <protection hidden="1"/>
    </xf>
    <xf numFmtId="0" fontId="8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2" fontId="8" fillId="0" borderId="0" xfId="0" applyNumberFormat="1" applyFont="1" applyAlignment="1" applyProtection="1">
      <alignment horizontal="right"/>
      <protection hidden="1"/>
    </xf>
    <xf numFmtId="2" fontId="5" fillId="0" borderId="0" xfId="0" applyNumberFormat="1" applyFont="1" applyAlignment="1" applyProtection="1">
      <protection hidden="1"/>
    </xf>
    <xf numFmtId="4" fontId="2" fillId="3" borderId="17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18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19" xfId="0" applyNumberFormat="1" applyFont="1" applyFill="1" applyBorder="1" applyAlignment="1" applyProtection="1">
      <alignment horizontal="center" vertical="center" wrapText="1"/>
      <protection hidden="1"/>
    </xf>
    <xf numFmtId="3" fontId="6" fillId="0" borderId="20" xfId="0" applyNumberFormat="1" applyFont="1" applyBorder="1" applyAlignment="1" applyProtection="1">
      <alignment horizontal="center" vertical="center" wrapText="1"/>
      <protection hidden="1"/>
    </xf>
    <xf numFmtId="3" fontId="6" fillId="0" borderId="13" xfId="0" applyNumberFormat="1" applyFont="1" applyBorder="1" applyAlignment="1" applyProtection="1">
      <alignment horizontal="center" vertical="center" wrapText="1"/>
      <protection hidden="1"/>
    </xf>
    <xf numFmtId="3" fontId="6" fillId="0" borderId="21" xfId="0" applyNumberFormat="1" applyFont="1" applyBorder="1" applyAlignment="1" applyProtection="1">
      <alignment horizontal="center" vertical="center" wrapText="1"/>
      <protection hidden="1"/>
    </xf>
    <xf numFmtId="0" fontId="16" fillId="0" borderId="13" xfId="0" applyFont="1" applyFill="1" applyBorder="1" applyAlignment="1" applyProtection="1">
      <protection hidden="1"/>
    </xf>
    <xf numFmtId="0" fontId="6" fillId="0" borderId="1" xfId="0" applyFont="1" applyFill="1" applyBorder="1" applyAlignment="1" applyProtection="1">
      <alignment horizontal="left" vertical="center" indent="2"/>
      <protection hidden="1"/>
    </xf>
    <xf numFmtId="0" fontId="1" fillId="0" borderId="0" xfId="0" applyFont="1" applyAlignment="1" applyProtection="1">
      <protection hidden="1"/>
    </xf>
    <xf numFmtId="2" fontId="0" fillId="0" borderId="0" xfId="0" applyNumberFormat="1" applyFill="1" applyProtection="1">
      <protection hidden="1"/>
    </xf>
    <xf numFmtId="0" fontId="4" fillId="0" borderId="22" xfId="0" applyFont="1" applyBorder="1" applyAlignment="1" applyProtection="1">
      <alignment horizontal="right" vertical="center"/>
      <protection hidden="1"/>
    </xf>
    <xf numFmtId="9" fontId="8" fillId="0" borderId="0" xfId="2" applyFont="1" applyAlignment="1" applyProtection="1">
      <alignment horizontal="right"/>
      <protection hidden="1"/>
    </xf>
    <xf numFmtId="0" fontId="35" fillId="0" borderId="0" xfId="0" applyFont="1" applyProtection="1">
      <protection hidden="1"/>
    </xf>
    <xf numFmtId="9" fontId="35" fillId="0" borderId="0" xfId="0" applyNumberFormat="1" applyFont="1" applyProtection="1">
      <protection hidden="1"/>
    </xf>
    <xf numFmtId="9" fontId="36" fillId="0" borderId="0" xfId="0" applyNumberFormat="1" applyFont="1" applyProtection="1">
      <protection hidden="1"/>
    </xf>
    <xf numFmtId="0" fontId="0" fillId="0" borderId="11" xfId="0" applyBorder="1" applyProtection="1">
      <protection hidden="1"/>
    </xf>
    <xf numFmtId="0" fontId="0" fillId="0" borderId="11" xfId="0" applyFill="1" applyBorder="1" applyProtection="1">
      <protection hidden="1"/>
    </xf>
    <xf numFmtId="4" fontId="2" fillId="3" borderId="23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Font="1" applyAlignment="1" applyProtection="1">
      <protection hidden="1"/>
    </xf>
    <xf numFmtId="0" fontId="6" fillId="4" borderId="24" xfId="0" applyFont="1" applyFill="1" applyBorder="1" applyAlignment="1" applyProtection="1">
      <alignment horizontal="left" vertical="center" wrapText="1" indent="2"/>
      <protection hidden="1"/>
    </xf>
    <xf numFmtId="0" fontId="6" fillId="4" borderId="25" xfId="0" applyFont="1" applyFill="1" applyBorder="1" applyAlignment="1" applyProtection="1">
      <alignment horizontal="left" vertical="center" wrapText="1" indent="2"/>
      <protection hidden="1"/>
    </xf>
    <xf numFmtId="0" fontId="6" fillId="4" borderId="26" xfId="0" applyFont="1" applyFill="1" applyBorder="1" applyAlignment="1" applyProtection="1">
      <alignment horizontal="left" vertical="center" wrapText="1" indent="2"/>
      <protection hidden="1"/>
    </xf>
    <xf numFmtId="2" fontId="0" fillId="0" borderId="0" xfId="2" applyNumberFormat="1" applyFont="1" applyProtection="1">
      <protection hidden="1"/>
    </xf>
    <xf numFmtId="0" fontId="6" fillId="0" borderId="27" xfId="0" applyFont="1" applyBorder="1" applyAlignment="1" applyProtection="1">
      <alignment horizontal="left" vertical="center" indent="2"/>
      <protection hidden="1"/>
    </xf>
    <xf numFmtId="0" fontId="6" fillId="0" borderId="28" xfId="0" applyFont="1" applyBorder="1" applyAlignment="1" applyProtection="1">
      <alignment horizontal="left" vertical="center" indent="2"/>
      <protection hidden="1"/>
    </xf>
    <xf numFmtId="0" fontId="19" fillId="0" borderId="0" xfId="1" applyFont="1" applyFill="1" applyAlignment="1" applyProtection="1">
      <protection hidden="1"/>
    </xf>
    <xf numFmtId="0" fontId="17" fillId="0" borderId="0" xfId="1" applyFill="1" applyAlignment="1" applyProtection="1">
      <protection hidden="1"/>
    </xf>
    <xf numFmtId="166" fontId="45" fillId="0" borderId="13" xfId="0" applyNumberFormat="1" applyFont="1" applyBorder="1" applyAlignment="1" applyProtection="1">
      <alignment horizontal="left"/>
      <protection hidden="1"/>
    </xf>
    <xf numFmtId="0" fontId="4" fillId="0" borderId="11" xfId="0" applyFont="1" applyBorder="1" applyAlignment="1" applyProtection="1">
      <alignment horizontal="right" vertical="center"/>
      <protection hidden="1"/>
    </xf>
    <xf numFmtId="0" fontId="4" fillId="0" borderId="2" xfId="0" applyFont="1" applyBorder="1" applyAlignment="1" applyProtection="1">
      <alignment horizontal="right" vertical="center"/>
      <protection hidden="1"/>
    </xf>
    <xf numFmtId="0" fontId="0" fillId="6" borderId="11" xfId="0" applyFill="1" applyBorder="1" applyProtection="1">
      <protection hidden="1"/>
    </xf>
    <xf numFmtId="1" fontId="0" fillId="0" borderId="0" xfId="0" applyNumberFormat="1" applyProtection="1">
      <protection hidden="1"/>
    </xf>
    <xf numFmtId="1" fontId="0" fillId="0" borderId="0" xfId="2" applyNumberFormat="1" applyFont="1" applyProtection="1">
      <protection hidden="1"/>
    </xf>
    <xf numFmtId="10" fontId="0" fillId="0" borderId="0" xfId="0" applyNumberFormat="1" applyProtection="1">
      <protection hidden="1"/>
    </xf>
    <xf numFmtId="9" fontId="0" fillId="0" borderId="0" xfId="0" applyNumberFormat="1" applyProtection="1">
      <protection hidden="1"/>
    </xf>
    <xf numFmtId="9" fontId="0" fillId="0" borderId="0" xfId="0" applyNumberFormat="1" applyFill="1" applyBorder="1" applyProtection="1">
      <protection hidden="1"/>
    </xf>
    <xf numFmtId="0" fontId="0" fillId="0" borderId="0" xfId="2" applyNumberFormat="1" applyFont="1" applyProtection="1">
      <protection hidden="1"/>
    </xf>
    <xf numFmtId="0" fontId="0" fillId="0" borderId="0" xfId="0" applyNumberFormat="1" applyProtection="1">
      <protection hidden="1"/>
    </xf>
    <xf numFmtId="10" fontId="0" fillId="0" borderId="0" xfId="0" applyNumberFormat="1" applyFill="1" applyBorder="1" applyProtection="1">
      <protection hidden="1"/>
    </xf>
    <xf numFmtId="0" fontId="0" fillId="6" borderId="29" xfId="0" applyFill="1" applyBorder="1" applyProtection="1">
      <protection hidden="1"/>
    </xf>
    <xf numFmtId="0" fontId="0" fillId="6" borderId="30" xfId="0" applyFill="1" applyBorder="1" applyProtection="1">
      <protection hidden="1"/>
    </xf>
    <xf numFmtId="0" fontId="46" fillId="6" borderId="29" xfId="0" applyFont="1" applyFill="1" applyBorder="1" applyProtection="1">
      <protection hidden="1"/>
    </xf>
    <xf numFmtId="9" fontId="0" fillId="0" borderId="0" xfId="2" applyNumberFormat="1" applyFont="1" applyProtection="1">
      <protection hidden="1"/>
    </xf>
    <xf numFmtId="10" fontId="0" fillId="0" borderId="0" xfId="2" applyNumberFormat="1" applyFont="1" applyProtection="1">
      <protection hidden="1"/>
    </xf>
    <xf numFmtId="3" fontId="0" fillId="0" borderId="0" xfId="0" applyNumberFormat="1" applyFill="1" applyBorder="1" applyProtection="1">
      <protection hidden="1"/>
    </xf>
    <xf numFmtId="4" fontId="2" fillId="3" borderId="20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13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21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Border="1" applyAlignment="1" applyProtection="1">
      <alignment horizontal="right" wrapText="1"/>
      <protection hidden="1"/>
    </xf>
    <xf numFmtId="0" fontId="0" fillId="0" borderId="0" xfId="0" applyFill="1" applyAlignment="1" applyProtection="1">
      <alignment horizontal="right"/>
      <protection hidden="1"/>
    </xf>
    <xf numFmtId="0" fontId="4" fillId="0" borderId="0" xfId="0" applyFont="1" applyFill="1" applyBorder="1" applyAlignment="1" applyProtection="1">
      <alignment horizontal="right" vertical="center" wrapText="1"/>
      <protection hidden="1"/>
    </xf>
    <xf numFmtId="0" fontId="4" fillId="0" borderId="14" xfId="0" applyFont="1" applyBorder="1" applyAlignment="1" applyProtection="1">
      <alignment horizontal="right" vertical="center" wrapText="1"/>
      <protection hidden="1"/>
    </xf>
    <xf numFmtId="0" fontId="4" fillId="0" borderId="15" xfId="0" applyFont="1" applyBorder="1" applyAlignment="1" applyProtection="1">
      <alignment horizontal="right" vertical="center" wrapText="1"/>
      <protection hidden="1"/>
    </xf>
    <xf numFmtId="0" fontId="4" fillId="0" borderId="25" xfId="0" applyFont="1" applyBorder="1" applyAlignment="1" applyProtection="1">
      <alignment horizontal="right" vertical="center" wrapText="1"/>
      <protection hidden="1"/>
    </xf>
    <xf numFmtId="0" fontId="4" fillId="0" borderId="26" xfId="0" applyFont="1" applyBorder="1" applyAlignment="1" applyProtection="1">
      <alignment horizontal="right" vertical="center" wrapText="1"/>
      <protection hidden="1"/>
    </xf>
    <xf numFmtId="0" fontId="4" fillId="0" borderId="24" xfId="0" applyFont="1" applyBorder="1" applyAlignment="1" applyProtection="1">
      <alignment horizontal="right" vertical="center" wrapText="1"/>
      <protection hidden="1"/>
    </xf>
    <xf numFmtId="0" fontId="6" fillId="4" borderId="2" xfId="0" applyFont="1" applyFill="1" applyBorder="1" applyAlignment="1" applyProtection="1">
      <alignment horizontal="right" vertical="center" wrapText="1"/>
      <protection hidden="1"/>
    </xf>
    <xf numFmtId="0" fontId="4" fillId="0" borderId="8" xfId="0" applyFont="1" applyBorder="1" applyAlignment="1" applyProtection="1">
      <alignment horizontal="right" vertical="center" wrapText="1"/>
      <protection hidden="1"/>
    </xf>
    <xf numFmtId="0" fontId="4" fillId="0" borderId="9" xfId="0" applyFont="1" applyBorder="1" applyAlignment="1" applyProtection="1">
      <alignment horizontal="right" vertical="center" wrapText="1"/>
      <protection hidden="1"/>
    </xf>
    <xf numFmtId="0" fontId="4" fillId="0" borderId="10" xfId="0" applyFont="1" applyBorder="1" applyAlignment="1" applyProtection="1">
      <alignment horizontal="right" vertical="center" wrapText="1"/>
      <protection hidden="1"/>
    </xf>
    <xf numFmtId="0" fontId="19" fillId="0" borderId="0" xfId="1" applyFont="1" applyFill="1" applyAlignment="1" applyProtection="1">
      <alignment horizontal="right"/>
      <protection hidden="1"/>
    </xf>
    <xf numFmtId="0" fontId="6" fillId="0" borderId="0" xfId="0" applyFont="1" applyFill="1" applyBorder="1" applyAlignment="1" applyProtection="1">
      <alignment horizontal="left" vertical="center" indent="2"/>
      <protection hidden="1"/>
    </xf>
    <xf numFmtId="0" fontId="0" fillId="0" borderId="24" xfId="0" applyBorder="1" applyProtection="1">
      <protection hidden="1"/>
    </xf>
    <xf numFmtId="0" fontId="0" fillId="0" borderId="0" xfId="2" applyNumberFormat="1" applyFont="1" applyFill="1" applyBorder="1" applyProtection="1">
      <protection hidden="1"/>
    </xf>
    <xf numFmtId="2" fontId="0" fillId="0" borderId="0" xfId="2" applyNumberFormat="1" applyFont="1" applyFill="1" applyBorder="1" applyProtection="1">
      <protection hidden="1"/>
    </xf>
    <xf numFmtId="0" fontId="0" fillId="0" borderId="0" xfId="2" applyNumberFormat="1" applyFont="1" applyFill="1" applyProtection="1">
      <protection hidden="1"/>
    </xf>
    <xf numFmtId="2" fontId="0" fillId="0" borderId="0" xfId="2" applyNumberFormat="1" applyFont="1" applyFill="1" applyProtection="1">
      <protection hidden="1"/>
    </xf>
    <xf numFmtId="4" fontId="2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1" applyFont="1" applyAlignment="1" applyProtection="1">
      <alignment horizontal="right"/>
      <protection hidden="1"/>
    </xf>
    <xf numFmtId="0" fontId="0" fillId="0" borderId="0" xfId="0" applyAlignment="1"/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38" fillId="0" borderId="0" xfId="0" applyFont="1" applyFill="1" applyProtection="1">
      <protection hidden="1"/>
    </xf>
    <xf numFmtId="0" fontId="38" fillId="0" borderId="0" xfId="0" applyFont="1" applyProtection="1">
      <protection hidden="1"/>
    </xf>
    <xf numFmtId="0" fontId="38" fillId="0" borderId="0" xfId="0" applyFont="1" applyAlignment="1" applyProtection="1">
      <alignment horizontal="right"/>
      <protection hidden="1"/>
    </xf>
    <xf numFmtId="0" fontId="39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38" fillId="0" borderId="0" xfId="0" applyFont="1" applyAlignment="1" applyProtection="1">
      <alignment vertical="center"/>
      <protection hidden="1"/>
    </xf>
    <xf numFmtId="2" fontId="0" fillId="0" borderId="0" xfId="0" applyNumberFormat="1" applyAlignment="1" applyProtection="1">
      <alignment vertical="center"/>
      <protection hidden="1"/>
    </xf>
    <xf numFmtId="0" fontId="39" fillId="0" borderId="0" xfId="0" applyFont="1" applyAlignment="1" applyProtection="1">
      <alignment horizontal="right"/>
      <protection hidden="1"/>
    </xf>
    <xf numFmtId="0" fontId="38" fillId="0" borderId="3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9" fillId="0" borderId="31" xfId="0" applyFont="1" applyBorder="1" applyAlignment="1" applyProtection="1">
      <alignment horizontal="center"/>
      <protection hidden="1"/>
    </xf>
    <xf numFmtId="0" fontId="38" fillId="0" borderId="31" xfId="0" applyFont="1" applyBorder="1" applyProtection="1">
      <protection hidden="1"/>
    </xf>
    <xf numFmtId="0" fontId="38" fillId="0" borderId="31" xfId="0" applyFont="1" applyBorder="1" applyAlignment="1" applyProtection="1">
      <alignment horizontal="center"/>
      <protection hidden="1"/>
    </xf>
    <xf numFmtId="0" fontId="38" fillId="0" borderId="0" xfId="0" applyFont="1" applyBorder="1" applyAlignment="1" applyProtection="1">
      <protection hidden="1"/>
    </xf>
    <xf numFmtId="0" fontId="38" fillId="0" borderId="0" xfId="0" applyFont="1" applyBorder="1" applyProtection="1">
      <protection hidden="1"/>
    </xf>
    <xf numFmtId="0" fontId="39" fillId="7" borderId="20" xfId="0" applyFont="1" applyFill="1" applyBorder="1" applyAlignment="1" applyProtection="1">
      <alignment horizontal="right" vertical="center"/>
      <protection hidden="1"/>
    </xf>
    <xf numFmtId="0" fontId="0" fillId="7" borderId="20" xfId="0" applyFont="1" applyFill="1" applyBorder="1" applyAlignment="1" applyProtection="1">
      <alignment vertical="center"/>
      <protection hidden="1"/>
    </xf>
    <xf numFmtId="3" fontId="47" fillId="7" borderId="20" xfId="0" applyNumberFormat="1" applyFont="1" applyFill="1" applyBorder="1" applyAlignment="1" applyProtection="1">
      <alignment vertical="center"/>
      <protection hidden="1"/>
    </xf>
    <xf numFmtId="4" fontId="40" fillId="7" borderId="32" xfId="0" applyNumberFormat="1" applyFont="1" applyFill="1" applyBorder="1" applyAlignment="1" applyProtection="1">
      <alignment horizontal="center" vertical="center"/>
      <protection hidden="1"/>
    </xf>
    <xf numFmtId="4" fontId="40" fillId="7" borderId="20" xfId="0" applyNumberFormat="1" applyFont="1" applyFill="1" applyBorder="1" applyAlignment="1" applyProtection="1">
      <alignment horizontal="center" vertical="center"/>
      <protection hidden="1"/>
    </xf>
    <xf numFmtId="0" fontId="38" fillId="7" borderId="21" xfId="0" applyFont="1" applyFill="1" applyBorder="1" applyAlignment="1" applyProtection="1">
      <alignment horizontal="right" vertical="center"/>
      <protection hidden="1"/>
    </xf>
    <xf numFmtId="0" fontId="0" fillId="7" borderId="21" xfId="0" applyFill="1" applyBorder="1" applyAlignment="1" applyProtection="1">
      <alignment vertical="center"/>
      <protection hidden="1"/>
    </xf>
    <xf numFmtId="3" fontId="47" fillId="7" borderId="21" xfId="0" applyNumberFormat="1" applyFont="1" applyFill="1" applyBorder="1" applyAlignment="1" applyProtection="1">
      <alignment vertical="center"/>
      <protection hidden="1"/>
    </xf>
    <xf numFmtId="4" fontId="40" fillId="7" borderId="33" xfId="0" applyNumberFormat="1" applyFont="1" applyFill="1" applyBorder="1" applyAlignment="1" applyProtection="1">
      <alignment horizontal="center" vertical="center"/>
      <protection hidden="1"/>
    </xf>
    <xf numFmtId="4" fontId="40" fillId="7" borderId="21" xfId="0" applyNumberFormat="1" applyFont="1" applyFill="1" applyBorder="1" applyAlignment="1" applyProtection="1">
      <alignment horizontal="center" vertical="center"/>
      <protection hidden="1"/>
    </xf>
    <xf numFmtId="0" fontId="8" fillId="6" borderId="3" xfId="0" applyFont="1" applyFill="1" applyBorder="1" applyProtection="1">
      <protection hidden="1"/>
    </xf>
    <xf numFmtId="0" fontId="8" fillId="6" borderId="3" xfId="0" applyFont="1" applyFill="1" applyBorder="1" applyAlignment="1" applyProtection="1">
      <alignment horizontal="right"/>
      <protection hidden="1"/>
    </xf>
    <xf numFmtId="0" fontId="8" fillId="6" borderId="3" xfId="0" applyFont="1" applyFill="1" applyBorder="1" applyAlignment="1" applyProtection="1">
      <alignment horizontal="center"/>
      <protection hidden="1"/>
    </xf>
    <xf numFmtId="4" fontId="8" fillId="6" borderId="3" xfId="0" applyNumberFormat="1" applyFont="1" applyFill="1" applyBorder="1" applyAlignment="1" applyProtection="1">
      <alignment horizontal="center"/>
      <protection hidden="1"/>
    </xf>
    <xf numFmtId="0" fontId="38" fillId="6" borderId="3" xfId="0" applyFont="1" applyFill="1" applyBorder="1" applyProtection="1">
      <protection hidden="1"/>
    </xf>
    <xf numFmtId="0" fontId="48" fillId="8" borderId="3" xfId="0" applyFont="1" applyFill="1" applyBorder="1" applyAlignment="1" applyProtection="1">
      <alignment horizontal="center" wrapText="1"/>
      <protection hidden="1"/>
    </xf>
    <xf numFmtId="0" fontId="49" fillId="8" borderId="3" xfId="0" applyFont="1" applyFill="1" applyBorder="1" applyProtection="1">
      <protection hidden="1"/>
    </xf>
    <xf numFmtId="0" fontId="0" fillId="8" borderId="11" xfId="0" applyFill="1" applyBorder="1" applyProtection="1">
      <protection hidden="1"/>
    </xf>
    <xf numFmtId="3" fontId="0" fillId="8" borderId="11" xfId="0" applyNumberFormat="1" applyFill="1" applyBorder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43" fillId="0" borderId="13" xfId="0" applyFont="1" applyFill="1" applyBorder="1" applyAlignment="1" applyProtection="1">
      <alignment horizontal="right" vertical="center"/>
      <protection hidden="1"/>
    </xf>
    <xf numFmtId="0" fontId="43" fillId="0" borderId="12" xfId="0" applyFont="1" applyFill="1" applyBorder="1" applyAlignment="1" applyProtection="1">
      <alignment horizontal="right" vertical="center"/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3" xfId="0" applyFill="1" applyBorder="1" applyProtection="1">
      <protection hidden="1"/>
    </xf>
    <xf numFmtId="4" fontId="3" fillId="7" borderId="12" xfId="0" applyNumberFormat="1" applyFont="1" applyFill="1" applyBorder="1" applyAlignment="1" applyProtection="1">
      <alignment horizontal="center" vertical="center" wrapText="1"/>
      <protection hidden="1"/>
    </xf>
    <xf numFmtId="4" fontId="3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38" fillId="0" borderId="12" xfId="0" applyFont="1" applyBorder="1" applyAlignment="1" applyProtection="1">
      <alignment vertical="center"/>
      <protection hidden="1"/>
    </xf>
    <xf numFmtId="0" fontId="38" fillId="0" borderId="13" xfId="0" applyFont="1" applyBorder="1" applyAlignment="1" applyProtection="1">
      <alignment vertical="center"/>
      <protection hidden="1"/>
    </xf>
    <xf numFmtId="0" fontId="2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13" xfId="0" applyFont="1" applyFill="1" applyBorder="1" applyAlignment="1" applyProtection="1">
      <alignment horizontal="center" vertical="center"/>
      <protection hidden="1"/>
    </xf>
    <xf numFmtId="0" fontId="0" fillId="0" borderId="13" xfId="0" applyFill="1" applyBorder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44" fillId="7" borderId="13" xfId="0" applyFont="1" applyFill="1" applyBorder="1" applyAlignment="1">
      <alignment horizontal="center" vertical="center"/>
    </xf>
    <xf numFmtId="3" fontId="50" fillId="0" borderId="12" xfId="0" applyNumberFormat="1" applyFont="1" applyBorder="1" applyAlignment="1" applyProtection="1">
      <alignment horizontal="center" vertical="center" wrapText="1"/>
      <protection hidden="1"/>
    </xf>
    <xf numFmtId="3" fontId="50" fillId="0" borderId="13" xfId="0" applyNumberFormat="1" applyFont="1" applyBorder="1" applyAlignment="1" applyProtection="1">
      <alignment horizontal="center" vertical="center" wrapText="1"/>
      <protection hidden="1"/>
    </xf>
    <xf numFmtId="3" fontId="50" fillId="0" borderId="12" xfId="0" applyNumberFormat="1" applyFont="1" applyFill="1" applyBorder="1" applyAlignment="1" applyProtection="1">
      <alignment horizontal="center" vertical="center" wrapText="1"/>
      <protection hidden="1"/>
    </xf>
    <xf numFmtId="3" fontId="50" fillId="0" borderId="13" xfId="0" applyNumberFormat="1" applyFont="1" applyFill="1" applyBorder="1" applyAlignment="1" applyProtection="1">
      <alignment horizontal="center" vertical="center" wrapText="1"/>
      <protection hidden="1"/>
    </xf>
    <xf numFmtId="165" fontId="50" fillId="0" borderId="13" xfId="0" applyNumberFormat="1" applyFont="1" applyBorder="1" applyAlignment="1" applyProtection="1">
      <alignment horizontal="center" vertical="center" wrapText="1"/>
      <protection hidden="1"/>
    </xf>
    <xf numFmtId="0" fontId="39" fillId="0" borderId="0" xfId="0" applyFont="1" applyBorder="1" applyAlignment="1" applyProtection="1">
      <alignment horizontal="right"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38" fillId="0" borderId="34" xfId="0" applyFont="1" applyBorder="1" applyAlignment="1" applyProtection="1">
      <alignment vertical="center"/>
      <protection hidden="1"/>
    </xf>
    <xf numFmtId="0" fontId="41" fillId="8" borderId="3" xfId="0" applyFont="1" applyFill="1" applyBorder="1" applyAlignment="1" applyProtection="1">
      <alignment vertical="center" wrapText="1"/>
      <protection hidden="1"/>
    </xf>
    <xf numFmtId="0" fontId="42" fillId="8" borderId="3" xfId="0" applyFont="1" applyFill="1" applyBorder="1" applyAlignment="1">
      <alignment vertical="center" wrapText="1"/>
    </xf>
    <xf numFmtId="0" fontId="41" fillId="8" borderId="3" xfId="0" applyFont="1" applyFill="1" applyBorder="1" applyAlignment="1" applyProtection="1">
      <alignment vertical="center"/>
      <protection hidden="1"/>
    </xf>
    <xf numFmtId="0" fontId="2" fillId="0" borderId="28" xfId="0" applyFont="1" applyFill="1" applyBorder="1" applyAlignment="1" applyProtection="1">
      <alignment horizontal="center" wrapText="1"/>
      <protection hidden="1"/>
    </xf>
    <xf numFmtId="0" fontId="39" fillId="0" borderId="0" xfId="0" applyFont="1" applyBorder="1" applyAlignment="1" applyProtection="1">
      <alignment horizontal="center"/>
      <protection hidden="1"/>
    </xf>
    <xf numFmtId="0" fontId="38" fillId="0" borderId="0" xfId="0" applyFont="1" applyBorder="1" applyAlignment="1" applyProtection="1">
      <alignment horizontal="center"/>
      <protection hidden="1"/>
    </xf>
    <xf numFmtId="0" fontId="38" fillId="0" borderId="0" xfId="0" applyFont="1" applyBorder="1" applyAlignment="1" applyProtection="1">
      <alignment vertical="center"/>
      <protection hidden="1"/>
    </xf>
    <xf numFmtId="0" fontId="0" fillId="0" borderId="16" xfId="0" applyFill="1" applyBorder="1" applyProtection="1">
      <protection hidden="1"/>
    </xf>
    <xf numFmtId="0" fontId="43" fillId="0" borderId="16" xfId="0" applyFont="1" applyFill="1" applyBorder="1" applyAlignment="1" applyProtection="1">
      <alignment horizontal="right" vertical="center"/>
      <protection hidden="1"/>
    </xf>
    <xf numFmtId="4" fontId="3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38" fillId="7" borderId="13" xfId="0" applyFont="1" applyFill="1" applyBorder="1" applyAlignment="1" applyProtection="1">
      <alignment horizontal="right" vertical="center"/>
      <protection hidden="1"/>
    </xf>
    <xf numFmtId="0" fontId="0" fillId="7" borderId="13" xfId="0" applyFill="1" applyBorder="1" applyAlignment="1" applyProtection="1">
      <alignment vertical="center"/>
      <protection hidden="1"/>
    </xf>
    <xf numFmtId="3" fontId="47" fillId="7" borderId="13" xfId="0" applyNumberFormat="1" applyFont="1" applyFill="1" applyBorder="1" applyAlignment="1" applyProtection="1">
      <alignment vertical="center"/>
      <protection hidden="1"/>
    </xf>
    <xf numFmtId="4" fontId="40" fillId="7" borderId="35" xfId="0" applyNumberFormat="1" applyFont="1" applyFill="1" applyBorder="1" applyAlignment="1" applyProtection="1">
      <alignment horizontal="center" vertical="center"/>
      <protection hidden="1"/>
    </xf>
    <xf numFmtId="4" fontId="40" fillId="7" borderId="13" xfId="0" applyNumberFormat="1" applyFont="1" applyFill="1" applyBorder="1" applyAlignment="1" applyProtection="1">
      <alignment horizontal="center" vertical="center"/>
      <protection hidden="1"/>
    </xf>
    <xf numFmtId="0" fontId="39" fillId="7" borderId="36" xfId="0" applyFont="1" applyFill="1" applyBorder="1" applyAlignment="1" applyProtection="1">
      <alignment horizontal="right" vertical="center"/>
      <protection hidden="1"/>
    </xf>
    <xf numFmtId="3" fontId="47" fillId="7" borderId="36" xfId="0" applyNumberFormat="1" applyFont="1" applyFill="1" applyBorder="1" applyAlignment="1" applyProtection="1">
      <alignment vertical="center"/>
      <protection hidden="1"/>
    </xf>
    <xf numFmtId="4" fontId="40" fillId="7" borderId="37" xfId="0" applyNumberFormat="1" applyFont="1" applyFill="1" applyBorder="1" applyAlignment="1" applyProtection="1">
      <alignment horizontal="center" vertical="center"/>
      <protection hidden="1"/>
    </xf>
    <xf numFmtId="4" fontId="40" fillId="7" borderId="36" xfId="0" applyNumberFormat="1" applyFont="1" applyFill="1" applyBorder="1" applyAlignment="1" applyProtection="1">
      <alignment horizontal="center" vertical="center"/>
      <protection hidden="1"/>
    </xf>
    <xf numFmtId="3" fontId="50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8" xfId="0" applyFill="1" applyBorder="1" applyProtection="1">
      <protection hidden="1"/>
    </xf>
    <xf numFmtId="0" fontId="39" fillId="0" borderId="38" xfId="0" applyFont="1" applyBorder="1" applyAlignment="1" applyProtection="1">
      <alignment horizontal="center"/>
      <protection hidden="1"/>
    </xf>
    <xf numFmtId="0" fontId="38" fillId="0" borderId="38" xfId="0" applyFont="1" applyBorder="1" applyProtection="1">
      <protection hidden="1"/>
    </xf>
    <xf numFmtId="0" fontId="38" fillId="0" borderId="38" xfId="0" applyFont="1" applyBorder="1" applyAlignment="1" applyProtection="1">
      <alignment horizontal="center"/>
      <protection hidden="1"/>
    </xf>
    <xf numFmtId="0" fontId="38" fillId="0" borderId="38" xfId="0" applyFont="1" applyBorder="1" applyAlignment="1" applyProtection="1">
      <alignment vertical="center"/>
      <protection hidden="1"/>
    </xf>
    <xf numFmtId="3" fontId="47" fillId="7" borderId="39" xfId="0" applyNumberFormat="1" applyFont="1" applyFill="1" applyBorder="1" applyAlignment="1" applyProtection="1">
      <alignment vertical="center"/>
      <protection hidden="1"/>
    </xf>
    <xf numFmtId="3" fontId="47" fillId="7" borderId="40" xfId="0" applyNumberFormat="1" applyFont="1" applyFill="1" applyBorder="1" applyAlignment="1" applyProtection="1">
      <alignment vertical="center"/>
      <protection hidden="1"/>
    </xf>
    <xf numFmtId="3" fontId="47" fillId="7" borderId="41" xfId="0" applyNumberFormat="1" applyFont="1" applyFill="1" applyBorder="1" applyAlignment="1" applyProtection="1">
      <alignment vertical="center"/>
      <protection hidden="1"/>
    </xf>
    <xf numFmtId="3" fontId="0" fillId="9" borderId="11" xfId="0" applyNumberFormat="1" applyFill="1" applyBorder="1" applyAlignment="1" applyProtection="1">
      <alignment vertical="center"/>
      <protection hidden="1"/>
    </xf>
    <xf numFmtId="0" fontId="39" fillId="7" borderId="13" xfId="0" applyFont="1" applyFill="1" applyBorder="1" applyAlignment="1" applyProtection="1">
      <alignment horizontal="right" vertical="center"/>
      <protection hidden="1"/>
    </xf>
    <xf numFmtId="0" fontId="39" fillId="10" borderId="20" xfId="0" applyFont="1" applyFill="1" applyBorder="1" applyAlignment="1" applyProtection="1">
      <alignment horizontal="right" vertical="center"/>
      <protection hidden="1"/>
    </xf>
    <xf numFmtId="0" fontId="8" fillId="10" borderId="20" xfId="0" applyFont="1" applyFill="1" applyBorder="1" applyAlignment="1" applyProtection="1">
      <alignment vertical="center"/>
      <protection hidden="1"/>
    </xf>
    <xf numFmtId="3" fontId="47" fillId="10" borderId="20" xfId="0" applyNumberFormat="1" applyFont="1" applyFill="1" applyBorder="1" applyAlignment="1" applyProtection="1">
      <alignment vertical="center"/>
      <protection hidden="1"/>
    </xf>
    <xf numFmtId="4" fontId="40" fillId="10" borderId="32" xfId="0" applyNumberFormat="1" applyFont="1" applyFill="1" applyBorder="1" applyAlignment="1" applyProtection="1">
      <alignment horizontal="center" vertical="center"/>
      <protection hidden="1"/>
    </xf>
    <xf numFmtId="4" fontId="40" fillId="10" borderId="20" xfId="0" applyNumberFormat="1" applyFont="1" applyFill="1" applyBorder="1" applyAlignment="1" applyProtection="1">
      <alignment horizontal="center" vertical="center"/>
      <protection hidden="1"/>
    </xf>
    <xf numFmtId="0" fontId="6" fillId="4" borderId="21" xfId="0" applyFont="1" applyFill="1" applyBorder="1" applyAlignment="1" applyProtection="1">
      <alignment horizontal="center" vertical="center" wrapText="1"/>
      <protection hidden="1"/>
    </xf>
    <xf numFmtId="0" fontId="6" fillId="4" borderId="10" xfId="0" applyFont="1" applyFill="1" applyBorder="1" applyAlignment="1" applyProtection="1">
      <alignment horizontal="center" vertical="center" wrapText="1"/>
      <protection hidden="1"/>
    </xf>
    <xf numFmtId="0" fontId="16" fillId="0" borderId="13" xfId="0" applyFont="1" applyFill="1" applyBorder="1" applyAlignment="1" applyProtection="1">
      <alignment horizontal="right"/>
      <protection hidden="1"/>
    </xf>
    <xf numFmtId="0" fontId="16" fillId="0" borderId="9" xfId="0" applyFont="1" applyFill="1" applyBorder="1" applyAlignment="1" applyProtection="1">
      <alignment horizontal="right"/>
      <protection hidden="1"/>
    </xf>
    <xf numFmtId="0" fontId="6" fillId="4" borderId="24" xfId="0" applyFont="1" applyFill="1" applyBorder="1" applyAlignment="1" applyProtection="1">
      <alignment horizontal="center" vertical="center" wrapText="1"/>
      <protection hidden="1"/>
    </xf>
    <xf numFmtId="0" fontId="6" fillId="4" borderId="26" xfId="0" applyFont="1" applyFill="1" applyBorder="1" applyAlignment="1" applyProtection="1">
      <alignment horizontal="center" vertical="center" wrapText="1"/>
      <protection hidden="1"/>
    </xf>
    <xf numFmtId="0" fontId="16" fillId="0" borderId="12" xfId="0" applyFont="1" applyFill="1" applyBorder="1" applyAlignment="1" applyProtection="1">
      <alignment horizontal="right"/>
      <protection hidden="1"/>
    </xf>
    <xf numFmtId="0" fontId="16" fillId="0" borderId="42" xfId="0" applyFont="1" applyFill="1" applyBorder="1" applyAlignment="1" applyProtection="1">
      <alignment horizontal="right"/>
      <protection hidden="1"/>
    </xf>
    <xf numFmtId="3" fontId="47" fillId="7" borderId="43" xfId="0" applyNumberFormat="1" applyFont="1" applyFill="1" applyBorder="1" applyAlignment="1" applyProtection="1">
      <alignment vertical="center"/>
      <protection hidden="1"/>
    </xf>
    <xf numFmtId="0" fontId="8" fillId="7" borderId="36" xfId="0" applyFont="1" applyFill="1" applyBorder="1" applyAlignment="1" applyProtection="1">
      <alignment vertical="center"/>
      <protection hidden="1"/>
    </xf>
    <xf numFmtId="0" fontId="7" fillId="11" borderId="0" xfId="0" applyFont="1" applyFill="1" applyBorder="1" applyAlignment="1" applyProtection="1">
      <alignment horizontal="center" wrapText="1"/>
      <protection hidden="1"/>
    </xf>
    <xf numFmtId="0" fontId="6" fillId="11" borderId="0" xfId="0" applyFont="1" applyFill="1" applyBorder="1" applyAlignment="1" applyProtection="1">
      <alignment vertical="center"/>
      <protection hidden="1"/>
    </xf>
    <xf numFmtId="0" fontId="51" fillId="11" borderId="0" xfId="0" applyFont="1" applyFill="1" applyBorder="1" applyAlignment="1" applyProtection="1">
      <alignment horizontal="left" vertical="center"/>
      <protection hidden="1"/>
    </xf>
    <xf numFmtId="9" fontId="34" fillId="12" borderId="16" xfId="0" applyNumberFormat="1" applyFont="1" applyFill="1" applyBorder="1" applyAlignment="1" applyProtection="1">
      <alignment horizontal="center"/>
      <protection locked="0" hidden="1"/>
    </xf>
    <xf numFmtId="164" fontId="1" fillId="12" borderId="12" xfId="0" applyNumberFormat="1" applyFont="1" applyFill="1" applyBorder="1" applyAlignment="1" applyProtection="1">
      <alignment horizontal="center"/>
      <protection locked="0" hidden="1"/>
    </xf>
    <xf numFmtId="0" fontId="0" fillId="0" borderId="0" xfId="0" applyFill="1" applyBorder="1" applyAlignment="1" applyProtection="1">
      <alignment vertical="center"/>
      <protection hidden="1"/>
    </xf>
    <xf numFmtId="0" fontId="38" fillId="0" borderId="16" xfId="0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protection hidden="1"/>
    </xf>
    <xf numFmtId="0" fontId="2" fillId="6" borderId="3" xfId="0" applyFont="1" applyFill="1" applyBorder="1" applyAlignment="1" applyProtection="1">
      <alignment horizontal="center" wrapText="1"/>
      <protection hidden="1"/>
    </xf>
    <xf numFmtId="0" fontId="0" fillId="6" borderId="3" xfId="0" applyFill="1" applyBorder="1" applyProtection="1">
      <protection hidden="1"/>
    </xf>
    <xf numFmtId="0" fontId="52" fillId="8" borderId="3" xfId="0" applyFont="1" applyFill="1" applyBorder="1" applyAlignment="1">
      <alignment vertical="center"/>
    </xf>
    <xf numFmtId="0" fontId="6" fillId="0" borderId="11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0" borderId="6" xfId="0" applyFont="1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4" fillId="0" borderId="44" xfId="0" applyFont="1" applyBorder="1" applyAlignment="1" applyProtection="1">
      <alignment horizontal="right" vertical="center"/>
      <protection hidden="1"/>
    </xf>
    <xf numFmtId="0" fontId="4" fillId="0" borderId="45" xfId="0" applyFont="1" applyBorder="1" applyAlignment="1" applyProtection="1">
      <alignment horizontal="right" vertical="center" wrapText="1"/>
      <protection hidden="1"/>
    </xf>
    <xf numFmtId="0" fontId="4" fillId="0" borderId="22" xfId="0" applyFont="1" applyBorder="1" applyAlignment="1" applyProtection="1">
      <alignment horizontal="right" vertical="center" wrapText="1"/>
      <protection hidden="1"/>
    </xf>
    <xf numFmtId="0" fontId="4" fillId="0" borderId="44" xfId="0" applyFont="1" applyBorder="1" applyAlignment="1" applyProtection="1">
      <alignment horizontal="right" vertical="center" wrapText="1"/>
      <protection hidden="1"/>
    </xf>
    <xf numFmtId="0" fontId="53" fillId="13" borderId="0" xfId="0" applyFont="1" applyFill="1" applyBorder="1" applyAlignment="1" applyProtection="1">
      <alignment horizontal="right"/>
      <protection hidden="1"/>
    </xf>
    <xf numFmtId="0" fontId="53" fillId="13" borderId="0" xfId="0" applyFont="1" applyFill="1" applyBorder="1" applyAlignment="1" applyProtection="1">
      <alignment horizontal="center"/>
      <protection hidden="1"/>
    </xf>
    <xf numFmtId="4" fontId="53" fillId="13" borderId="0" xfId="0" applyNumberFormat="1" applyFont="1" applyFill="1" applyBorder="1" applyAlignment="1" applyProtection="1">
      <alignment horizontal="center"/>
      <protection hidden="1"/>
    </xf>
    <xf numFmtId="0" fontId="53" fillId="13" borderId="0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 vertical="center" indent="2"/>
      <protection hidden="1"/>
    </xf>
    <xf numFmtId="0" fontId="6" fillId="0" borderId="6" xfId="0" applyFont="1" applyFill="1" applyBorder="1" applyAlignment="1" applyProtection="1">
      <alignment horizontal="left" vertical="center" indent="2"/>
      <protection hidden="1"/>
    </xf>
    <xf numFmtId="0" fontId="38" fillId="0" borderId="16" xfId="0" applyFont="1" applyFill="1" applyBorder="1" applyAlignment="1" applyProtection="1">
      <alignment vertical="center"/>
      <protection hidden="1"/>
    </xf>
    <xf numFmtId="0" fontId="0" fillId="0" borderId="16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38" fillId="7" borderId="16" xfId="0" applyFont="1" applyFill="1" applyBorder="1" applyAlignment="1" applyProtection="1">
      <alignment horizontal="right" vertical="center"/>
      <protection hidden="1"/>
    </xf>
    <xf numFmtId="0" fontId="0" fillId="7" borderId="16" xfId="0" applyFill="1" applyBorder="1" applyAlignment="1" applyProtection="1">
      <alignment vertical="center"/>
      <protection hidden="1"/>
    </xf>
    <xf numFmtId="3" fontId="47" fillId="7" borderId="16" xfId="0" applyNumberFormat="1" applyFont="1" applyFill="1" applyBorder="1" applyAlignment="1" applyProtection="1">
      <alignment vertical="center"/>
      <protection hidden="1"/>
    </xf>
    <xf numFmtId="4" fontId="40" fillId="7" borderId="46" xfId="0" applyNumberFormat="1" applyFont="1" applyFill="1" applyBorder="1" applyAlignment="1" applyProtection="1">
      <alignment horizontal="center" vertical="center"/>
      <protection hidden="1"/>
    </xf>
    <xf numFmtId="4" fontId="40" fillId="7" borderId="16" xfId="0" applyNumberFormat="1" applyFont="1" applyFill="1" applyBorder="1" applyAlignment="1" applyProtection="1">
      <alignment horizontal="center" vertical="center"/>
      <protection hidden="1"/>
    </xf>
    <xf numFmtId="0" fontId="39" fillId="7" borderId="21" xfId="0" applyFont="1" applyFill="1" applyBorder="1" applyAlignment="1" applyProtection="1">
      <alignment horizontal="right" vertical="center"/>
      <protection hidden="1"/>
    </xf>
    <xf numFmtId="0" fontId="0" fillId="7" borderId="21" xfId="0" applyFont="1" applyFill="1" applyBorder="1" applyAlignment="1" applyProtection="1">
      <alignment vertical="center"/>
      <protection hidden="1"/>
    </xf>
    <xf numFmtId="4" fontId="40" fillId="7" borderId="39" xfId="0" applyNumberFormat="1" applyFont="1" applyFill="1" applyBorder="1" applyAlignment="1" applyProtection="1">
      <alignment horizontal="center" vertical="center"/>
      <protection hidden="1"/>
    </xf>
    <xf numFmtId="4" fontId="40" fillId="7" borderId="40" xfId="0" applyNumberFormat="1" applyFont="1" applyFill="1" applyBorder="1" applyAlignment="1" applyProtection="1">
      <alignment horizontal="center" vertical="center"/>
      <protection hidden="1"/>
    </xf>
    <xf numFmtId="4" fontId="40" fillId="7" borderId="47" xfId="0" applyNumberFormat="1" applyFont="1" applyFill="1" applyBorder="1" applyAlignment="1" applyProtection="1">
      <alignment horizontal="center" vertical="center"/>
      <protection hidden="1"/>
    </xf>
    <xf numFmtId="4" fontId="40" fillId="7" borderId="41" xfId="0" applyNumberFormat="1" applyFont="1" applyFill="1" applyBorder="1" applyAlignment="1" applyProtection="1">
      <alignment horizontal="center" vertical="center"/>
      <protection hidden="1"/>
    </xf>
    <xf numFmtId="1" fontId="0" fillId="9" borderId="0" xfId="0" applyNumberFormat="1" applyFill="1" applyProtection="1">
      <protection hidden="1"/>
    </xf>
    <xf numFmtId="0" fontId="0" fillId="9" borderId="0" xfId="0" applyFill="1" applyProtection="1">
      <protection hidden="1"/>
    </xf>
    <xf numFmtId="0" fontId="0" fillId="9" borderId="0" xfId="0" applyFill="1" applyBorder="1" applyProtection="1">
      <protection hidden="1"/>
    </xf>
    <xf numFmtId="16" fontId="0" fillId="0" borderId="0" xfId="0" applyNumberFormat="1" applyAlignment="1" applyProtection="1">
      <alignment vertical="center"/>
      <protection hidden="1"/>
    </xf>
    <xf numFmtId="9" fontId="0" fillId="0" borderId="0" xfId="0" applyNumberFormat="1" applyAlignment="1" applyProtection="1">
      <alignment vertical="center"/>
      <protection hidden="1"/>
    </xf>
    <xf numFmtId="0" fontId="26" fillId="0" borderId="0" xfId="0" applyFont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left"/>
      <protection hidden="1"/>
    </xf>
    <xf numFmtId="0" fontId="31" fillId="0" borderId="0" xfId="0" applyFont="1" applyAlignment="1" applyProtection="1">
      <alignment horizontal="left" wrapText="1"/>
      <protection hidden="1"/>
    </xf>
    <xf numFmtId="0" fontId="31" fillId="0" borderId="0" xfId="0" applyFont="1" applyAlignment="1" applyProtection="1">
      <alignment horizontal="left"/>
      <protection hidden="1"/>
    </xf>
    <xf numFmtId="0" fontId="0" fillId="0" borderId="0" xfId="0" applyBorder="1"/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6" fillId="4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6" fillId="4" borderId="6" xfId="0" applyFont="1" applyFill="1" applyBorder="1" applyAlignment="1" applyProtection="1">
      <alignment horizontal="center" vertical="center" wrapText="1"/>
      <protection hidden="1"/>
    </xf>
    <xf numFmtId="0" fontId="6" fillId="4" borderId="10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2" fillId="4" borderId="8" xfId="0" applyFont="1" applyFill="1" applyBorder="1" applyAlignment="1" applyProtection="1">
      <alignment horizontal="center" vertical="center" wrapText="1"/>
      <protection hidden="1"/>
    </xf>
    <xf numFmtId="0" fontId="4" fillId="0" borderId="44" xfId="0" applyFont="1" applyBorder="1" applyAlignment="1" applyProtection="1">
      <alignment horizontal="right" vertical="center"/>
      <protection hidden="1"/>
    </xf>
    <xf numFmtId="0" fontId="4" fillId="0" borderId="22" xfId="0" applyFont="1" applyBorder="1" applyAlignment="1" applyProtection="1">
      <alignment horizontal="right" vertical="center"/>
      <protection hidden="1"/>
    </xf>
    <xf numFmtId="0" fontId="6" fillId="4" borderId="19" xfId="0" applyFont="1" applyFill="1" applyBorder="1" applyAlignment="1" applyProtection="1">
      <alignment horizontal="center" vertical="center" wrapText="1"/>
      <protection hidden="1"/>
    </xf>
    <xf numFmtId="0" fontId="6" fillId="4" borderId="21" xfId="0" applyFont="1" applyFill="1" applyBorder="1" applyAlignment="1" applyProtection="1">
      <alignment horizontal="center" vertical="center" wrapText="1"/>
      <protection hidden="1"/>
    </xf>
    <xf numFmtId="0" fontId="37" fillId="0" borderId="3" xfId="0" applyFont="1" applyFill="1" applyBorder="1" applyAlignment="1" applyProtection="1">
      <alignment horizontal="left" wrapText="1"/>
      <protection hidden="1"/>
    </xf>
    <xf numFmtId="0" fontId="16" fillId="0" borderId="12" xfId="0" applyFont="1" applyBorder="1" applyAlignment="1" applyProtection="1">
      <alignment horizontal="right" indent="2"/>
      <protection hidden="1"/>
    </xf>
    <xf numFmtId="0" fontId="16" fillId="0" borderId="42" xfId="0" applyFont="1" applyBorder="1" applyAlignment="1" applyProtection="1">
      <alignment horizontal="right" indent="2"/>
      <protection hidden="1"/>
    </xf>
    <xf numFmtId="0" fontId="2" fillId="4" borderId="20" xfId="0" applyFont="1" applyFill="1" applyBorder="1" applyAlignment="1" applyProtection="1">
      <alignment horizontal="center" vertical="center" wrapText="1"/>
      <protection hidden="1"/>
    </xf>
    <xf numFmtId="0" fontId="54" fillId="0" borderId="3" xfId="0" applyFont="1" applyFill="1" applyBorder="1" applyAlignment="1" applyProtection="1">
      <alignment horizontal="left" wrapText="1"/>
      <protection hidden="1"/>
    </xf>
    <xf numFmtId="0" fontId="6" fillId="4" borderId="41" xfId="0" applyFont="1" applyFill="1" applyBorder="1" applyAlignment="1" applyProtection="1">
      <alignment horizontal="center" vertical="center" wrapText="1"/>
      <protection hidden="1"/>
    </xf>
    <xf numFmtId="0" fontId="6" fillId="0" borderId="49" xfId="0" applyFont="1" applyFill="1" applyBorder="1" applyAlignment="1" applyProtection="1">
      <alignment horizontal="center" vertical="center"/>
      <protection hidden="1"/>
    </xf>
    <xf numFmtId="0" fontId="6" fillId="0" borderId="22" xfId="0" applyFont="1" applyFill="1" applyBorder="1" applyAlignment="1" applyProtection="1">
      <alignment horizontal="center" vertical="center"/>
      <protection hidden="1"/>
    </xf>
    <xf numFmtId="0" fontId="6" fillId="4" borderId="24" xfId="0" applyFont="1" applyFill="1" applyBorder="1" applyAlignment="1" applyProtection="1">
      <alignment horizontal="center" vertical="center" wrapText="1"/>
      <protection hidden="1"/>
    </xf>
    <xf numFmtId="0" fontId="6" fillId="4" borderId="26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6" fillId="0" borderId="2" xfId="0" applyFont="1" applyBorder="1" applyAlignment="1" applyProtection="1">
      <alignment horizontal="center" wrapText="1"/>
      <protection hidden="1"/>
    </xf>
    <xf numFmtId="0" fontId="0" fillId="0" borderId="48" xfId="0" applyBorder="1"/>
    <xf numFmtId="0" fontId="0" fillId="0" borderId="28" xfId="0" applyBorder="1"/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emf"/><Relationship Id="rId21" Type="http://schemas.openxmlformats.org/officeDocument/2006/relationships/image" Target="../media/image22.jpeg"/><Relationship Id="rId42" Type="http://schemas.openxmlformats.org/officeDocument/2006/relationships/image" Target="../media/image43.png"/><Relationship Id="rId63" Type="http://schemas.openxmlformats.org/officeDocument/2006/relationships/image" Target="../media/image64.png"/><Relationship Id="rId84" Type="http://schemas.openxmlformats.org/officeDocument/2006/relationships/image" Target="../media/image85.jpeg"/><Relationship Id="rId138" Type="http://schemas.openxmlformats.org/officeDocument/2006/relationships/image" Target="../media/image139.emf"/><Relationship Id="rId159" Type="http://schemas.openxmlformats.org/officeDocument/2006/relationships/image" Target="../media/image159.emf"/><Relationship Id="rId107" Type="http://schemas.openxmlformats.org/officeDocument/2006/relationships/image" Target="../media/image108.emf"/><Relationship Id="rId11" Type="http://schemas.openxmlformats.org/officeDocument/2006/relationships/image" Target="../media/image12.jpeg"/><Relationship Id="rId32" Type="http://schemas.openxmlformats.org/officeDocument/2006/relationships/image" Target="../media/image33.jpeg"/><Relationship Id="rId53" Type="http://schemas.openxmlformats.org/officeDocument/2006/relationships/image" Target="../media/image54.png"/><Relationship Id="rId74" Type="http://schemas.openxmlformats.org/officeDocument/2006/relationships/image" Target="../media/image75.png"/><Relationship Id="rId128" Type="http://schemas.openxmlformats.org/officeDocument/2006/relationships/image" Target="../media/image129.emf"/><Relationship Id="rId149" Type="http://schemas.openxmlformats.org/officeDocument/2006/relationships/image" Target="../media/image150.emf"/><Relationship Id="rId5" Type="http://schemas.openxmlformats.org/officeDocument/2006/relationships/image" Target="../media/image6.jpeg"/><Relationship Id="rId95" Type="http://schemas.openxmlformats.org/officeDocument/2006/relationships/image" Target="../media/image96.png"/><Relationship Id="rId160" Type="http://schemas.openxmlformats.org/officeDocument/2006/relationships/image" Target="../media/image160.emf"/><Relationship Id="rId22" Type="http://schemas.openxmlformats.org/officeDocument/2006/relationships/image" Target="../media/image23.jpeg"/><Relationship Id="rId43" Type="http://schemas.openxmlformats.org/officeDocument/2006/relationships/image" Target="../media/image44.png"/><Relationship Id="rId64" Type="http://schemas.openxmlformats.org/officeDocument/2006/relationships/image" Target="../media/image65.png"/><Relationship Id="rId118" Type="http://schemas.openxmlformats.org/officeDocument/2006/relationships/image" Target="../media/image119.emf"/><Relationship Id="rId139" Type="http://schemas.openxmlformats.org/officeDocument/2006/relationships/image" Target="../media/image140.emf"/><Relationship Id="rId85" Type="http://schemas.openxmlformats.org/officeDocument/2006/relationships/image" Target="../media/image86.jpeg"/><Relationship Id="rId150" Type="http://schemas.openxmlformats.org/officeDocument/2006/relationships/image" Target="../media/image151.emf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33" Type="http://schemas.openxmlformats.org/officeDocument/2006/relationships/image" Target="../media/image34.png"/><Relationship Id="rId38" Type="http://schemas.openxmlformats.org/officeDocument/2006/relationships/image" Target="../media/image39.jpeg"/><Relationship Id="rId59" Type="http://schemas.openxmlformats.org/officeDocument/2006/relationships/image" Target="../media/image60.jpeg"/><Relationship Id="rId103" Type="http://schemas.openxmlformats.org/officeDocument/2006/relationships/image" Target="../media/image104.jpeg"/><Relationship Id="rId108" Type="http://schemas.openxmlformats.org/officeDocument/2006/relationships/image" Target="../media/image109.emf"/><Relationship Id="rId124" Type="http://schemas.openxmlformats.org/officeDocument/2006/relationships/image" Target="../media/image125.emf"/><Relationship Id="rId129" Type="http://schemas.openxmlformats.org/officeDocument/2006/relationships/image" Target="../media/image130.emf"/><Relationship Id="rId54" Type="http://schemas.openxmlformats.org/officeDocument/2006/relationships/image" Target="../media/image55.png"/><Relationship Id="rId70" Type="http://schemas.openxmlformats.org/officeDocument/2006/relationships/image" Target="../media/image71.png"/><Relationship Id="rId75" Type="http://schemas.openxmlformats.org/officeDocument/2006/relationships/image" Target="../media/image76.png"/><Relationship Id="rId91" Type="http://schemas.openxmlformats.org/officeDocument/2006/relationships/image" Target="../media/image92.png"/><Relationship Id="rId96" Type="http://schemas.openxmlformats.org/officeDocument/2006/relationships/image" Target="../media/image97.png"/><Relationship Id="rId140" Type="http://schemas.openxmlformats.org/officeDocument/2006/relationships/image" Target="../media/image141.emf"/><Relationship Id="rId145" Type="http://schemas.openxmlformats.org/officeDocument/2006/relationships/image" Target="../media/image146.emf"/><Relationship Id="rId161" Type="http://schemas.openxmlformats.org/officeDocument/2006/relationships/image" Target="../media/image161.emf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23" Type="http://schemas.openxmlformats.org/officeDocument/2006/relationships/image" Target="../media/image24.jpeg"/><Relationship Id="rId28" Type="http://schemas.openxmlformats.org/officeDocument/2006/relationships/image" Target="../media/image29.png"/><Relationship Id="rId49" Type="http://schemas.openxmlformats.org/officeDocument/2006/relationships/image" Target="../media/image50.png"/><Relationship Id="rId114" Type="http://schemas.openxmlformats.org/officeDocument/2006/relationships/image" Target="../media/image115.emf"/><Relationship Id="rId119" Type="http://schemas.openxmlformats.org/officeDocument/2006/relationships/image" Target="../media/image120.emf"/><Relationship Id="rId44" Type="http://schemas.openxmlformats.org/officeDocument/2006/relationships/image" Target="../media/image45.jpeg"/><Relationship Id="rId60" Type="http://schemas.openxmlformats.org/officeDocument/2006/relationships/image" Target="../media/image61.png"/><Relationship Id="rId65" Type="http://schemas.openxmlformats.org/officeDocument/2006/relationships/image" Target="../media/image66.png"/><Relationship Id="rId81" Type="http://schemas.openxmlformats.org/officeDocument/2006/relationships/image" Target="../media/image82.jpeg"/><Relationship Id="rId86" Type="http://schemas.openxmlformats.org/officeDocument/2006/relationships/image" Target="../media/image87.png"/><Relationship Id="rId130" Type="http://schemas.openxmlformats.org/officeDocument/2006/relationships/image" Target="../media/image131.emf"/><Relationship Id="rId135" Type="http://schemas.openxmlformats.org/officeDocument/2006/relationships/image" Target="../media/image136.emf"/><Relationship Id="rId151" Type="http://schemas.openxmlformats.org/officeDocument/2006/relationships/image" Target="../media/image152.png"/><Relationship Id="rId156" Type="http://schemas.openxmlformats.org/officeDocument/2006/relationships/image" Target="../media/image1.pn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9" Type="http://schemas.openxmlformats.org/officeDocument/2006/relationships/image" Target="../media/image40.png"/><Relationship Id="rId109" Type="http://schemas.openxmlformats.org/officeDocument/2006/relationships/image" Target="../media/image110.emf"/><Relationship Id="rId34" Type="http://schemas.openxmlformats.org/officeDocument/2006/relationships/image" Target="../media/image35.png"/><Relationship Id="rId50" Type="http://schemas.openxmlformats.org/officeDocument/2006/relationships/image" Target="../media/image51.png"/><Relationship Id="rId55" Type="http://schemas.openxmlformats.org/officeDocument/2006/relationships/image" Target="../media/image56.png"/><Relationship Id="rId76" Type="http://schemas.openxmlformats.org/officeDocument/2006/relationships/image" Target="../media/image77.png"/><Relationship Id="rId97" Type="http://schemas.openxmlformats.org/officeDocument/2006/relationships/image" Target="../media/image98.jpeg"/><Relationship Id="rId104" Type="http://schemas.openxmlformats.org/officeDocument/2006/relationships/image" Target="../media/image105.jpeg"/><Relationship Id="rId120" Type="http://schemas.openxmlformats.org/officeDocument/2006/relationships/image" Target="../media/image121.emf"/><Relationship Id="rId125" Type="http://schemas.openxmlformats.org/officeDocument/2006/relationships/image" Target="../media/image126.emf"/><Relationship Id="rId141" Type="http://schemas.openxmlformats.org/officeDocument/2006/relationships/image" Target="../media/image142.emf"/><Relationship Id="rId146" Type="http://schemas.openxmlformats.org/officeDocument/2006/relationships/image" Target="../media/image147.emf"/><Relationship Id="rId7" Type="http://schemas.openxmlformats.org/officeDocument/2006/relationships/image" Target="../media/image8.jpeg"/><Relationship Id="rId71" Type="http://schemas.openxmlformats.org/officeDocument/2006/relationships/image" Target="../media/image72.png"/><Relationship Id="rId92" Type="http://schemas.openxmlformats.org/officeDocument/2006/relationships/image" Target="../media/image93.png"/><Relationship Id="rId162" Type="http://schemas.openxmlformats.org/officeDocument/2006/relationships/image" Target="../media/image162.emf"/><Relationship Id="rId2" Type="http://schemas.openxmlformats.org/officeDocument/2006/relationships/image" Target="../media/image3.jpeg"/><Relationship Id="rId29" Type="http://schemas.openxmlformats.org/officeDocument/2006/relationships/image" Target="../media/image30.png"/><Relationship Id="rId24" Type="http://schemas.openxmlformats.org/officeDocument/2006/relationships/image" Target="../media/image25.jpe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66" Type="http://schemas.openxmlformats.org/officeDocument/2006/relationships/image" Target="../media/image67.png"/><Relationship Id="rId87" Type="http://schemas.openxmlformats.org/officeDocument/2006/relationships/image" Target="../media/image88.png"/><Relationship Id="rId110" Type="http://schemas.openxmlformats.org/officeDocument/2006/relationships/image" Target="../media/image111.emf"/><Relationship Id="rId115" Type="http://schemas.openxmlformats.org/officeDocument/2006/relationships/image" Target="../media/image116.emf"/><Relationship Id="rId131" Type="http://schemas.openxmlformats.org/officeDocument/2006/relationships/image" Target="../media/image132.emf"/><Relationship Id="rId136" Type="http://schemas.openxmlformats.org/officeDocument/2006/relationships/image" Target="../media/image137.emf"/><Relationship Id="rId157" Type="http://schemas.openxmlformats.org/officeDocument/2006/relationships/image" Target="../media/image157.emf"/><Relationship Id="rId61" Type="http://schemas.openxmlformats.org/officeDocument/2006/relationships/image" Target="../media/image62.png"/><Relationship Id="rId82" Type="http://schemas.openxmlformats.org/officeDocument/2006/relationships/image" Target="../media/image83.jpeg"/><Relationship Id="rId152" Type="http://schemas.openxmlformats.org/officeDocument/2006/relationships/image" Target="../media/image153.emf"/><Relationship Id="rId19" Type="http://schemas.openxmlformats.org/officeDocument/2006/relationships/image" Target="../media/image20.jpeg"/><Relationship Id="rId14" Type="http://schemas.openxmlformats.org/officeDocument/2006/relationships/image" Target="../media/image15.jpeg"/><Relationship Id="rId30" Type="http://schemas.openxmlformats.org/officeDocument/2006/relationships/image" Target="../media/image31.png"/><Relationship Id="rId35" Type="http://schemas.openxmlformats.org/officeDocument/2006/relationships/image" Target="../media/image36.png"/><Relationship Id="rId56" Type="http://schemas.openxmlformats.org/officeDocument/2006/relationships/image" Target="../media/image57.png"/><Relationship Id="rId77" Type="http://schemas.openxmlformats.org/officeDocument/2006/relationships/image" Target="../media/image78.png"/><Relationship Id="rId100" Type="http://schemas.openxmlformats.org/officeDocument/2006/relationships/image" Target="../media/image101.jpeg"/><Relationship Id="rId105" Type="http://schemas.openxmlformats.org/officeDocument/2006/relationships/image" Target="../media/image106.emf"/><Relationship Id="rId126" Type="http://schemas.openxmlformats.org/officeDocument/2006/relationships/image" Target="../media/image127.emf"/><Relationship Id="rId147" Type="http://schemas.openxmlformats.org/officeDocument/2006/relationships/image" Target="../media/image148.emf"/><Relationship Id="rId8" Type="http://schemas.openxmlformats.org/officeDocument/2006/relationships/image" Target="../media/image9.jpeg"/><Relationship Id="rId51" Type="http://schemas.openxmlformats.org/officeDocument/2006/relationships/image" Target="../media/image52.png"/><Relationship Id="rId72" Type="http://schemas.openxmlformats.org/officeDocument/2006/relationships/image" Target="../media/image73.png"/><Relationship Id="rId93" Type="http://schemas.openxmlformats.org/officeDocument/2006/relationships/image" Target="../media/image94.png"/><Relationship Id="rId98" Type="http://schemas.openxmlformats.org/officeDocument/2006/relationships/image" Target="../media/image99.jpeg"/><Relationship Id="rId121" Type="http://schemas.openxmlformats.org/officeDocument/2006/relationships/image" Target="../media/image122.emf"/><Relationship Id="rId142" Type="http://schemas.openxmlformats.org/officeDocument/2006/relationships/image" Target="../media/image143.png"/><Relationship Id="rId163" Type="http://schemas.openxmlformats.org/officeDocument/2006/relationships/image" Target="../media/image163.emf"/><Relationship Id="rId3" Type="http://schemas.openxmlformats.org/officeDocument/2006/relationships/image" Target="../media/image4.jpeg"/><Relationship Id="rId25" Type="http://schemas.openxmlformats.org/officeDocument/2006/relationships/image" Target="../media/image26.jpeg"/><Relationship Id="rId46" Type="http://schemas.openxmlformats.org/officeDocument/2006/relationships/image" Target="../media/image47.png"/><Relationship Id="rId67" Type="http://schemas.openxmlformats.org/officeDocument/2006/relationships/image" Target="../media/image68.png"/><Relationship Id="rId116" Type="http://schemas.openxmlformats.org/officeDocument/2006/relationships/image" Target="../media/image117.emf"/><Relationship Id="rId137" Type="http://schemas.openxmlformats.org/officeDocument/2006/relationships/image" Target="../media/image138.emf"/><Relationship Id="rId158" Type="http://schemas.openxmlformats.org/officeDocument/2006/relationships/image" Target="../media/image158.emf"/><Relationship Id="rId20" Type="http://schemas.openxmlformats.org/officeDocument/2006/relationships/image" Target="../media/image21.jpeg"/><Relationship Id="rId41" Type="http://schemas.openxmlformats.org/officeDocument/2006/relationships/image" Target="../media/image42.png"/><Relationship Id="rId62" Type="http://schemas.openxmlformats.org/officeDocument/2006/relationships/image" Target="../media/image63.jpeg"/><Relationship Id="rId83" Type="http://schemas.openxmlformats.org/officeDocument/2006/relationships/image" Target="../media/image84.jpeg"/><Relationship Id="rId88" Type="http://schemas.openxmlformats.org/officeDocument/2006/relationships/image" Target="../media/image89.png"/><Relationship Id="rId111" Type="http://schemas.openxmlformats.org/officeDocument/2006/relationships/image" Target="../media/image112.emf"/><Relationship Id="rId132" Type="http://schemas.openxmlformats.org/officeDocument/2006/relationships/image" Target="../media/image133.emf"/><Relationship Id="rId153" Type="http://schemas.openxmlformats.org/officeDocument/2006/relationships/image" Target="../media/image154.emf"/><Relationship Id="rId15" Type="http://schemas.openxmlformats.org/officeDocument/2006/relationships/image" Target="../media/image16.jpeg"/><Relationship Id="rId36" Type="http://schemas.openxmlformats.org/officeDocument/2006/relationships/image" Target="../media/image37.png"/><Relationship Id="rId57" Type="http://schemas.openxmlformats.org/officeDocument/2006/relationships/image" Target="../media/image58.png"/><Relationship Id="rId106" Type="http://schemas.openxmlformats.org/officeDocument/2006/relationships/image" Target="../media/image107.emf"/><Relationship Id="rId127" Type="http://schemas.openxmlformats.org/officeDocument/2006/relationships/image" Target="../media/image128.emf"/><Relationship Id="rId10" Type="http://schemas.openxmlformats.org/officeDocument/2006/relationships/image" Target="../media/image11.jpeg"/><Relationship Id="rId31" Type="http://schemas.openxmlformats.org/officeDocument/2006/relationships/image" Target="../media/image32.jpeg"/><Relationship Id="rId52" Type="http://schemas.openxmlformats.org/officeDocument/2006/relationships/image" Target="../media/image53.png"/><Relationship Id="rId73" Type="http://schemas.openxmlformats.org/officeDocument/2006/relationships/image" Target="../media/image74.png"/><Relationship Id="rId78" Type="http://schemas.openxmlformats.org/officeDocument/2006/relationships/image" Target="../media/image79.jpeg"/><Relationship Id="rId94" Type="http://schemas.openxmlformats.org/officeDocument/2006/relationships/image" Target="../media/image95.png"/><Relationship Id="rId99" Type="http://schemas.openxmlformats.org/officeDocument/2006/relationships/image" Target="../media/image100.jpeg"/><Relationship Id="rId101" Type="http://schemas.openxmlformats.org/officeDocument/2006/relationships/image" Target="../media/image102.jpeg"/><Relationship Id="rId122" Type="http://schemas.openxmlformats.org/officeDocument/2006/relationships/image" Target="../media/image123.emf"/><Relationship Id="rId143" Type="http://schemas.openxmlformats.org/officeDocument/2006/relationships/image" Target="../media/image144.emf"/><Relationship Id="rId148" Type="http://schemas.openxmlformats.org/officeDocument/2006/relationships/image" Target="../media/image149.emf"/><Relationship Id="rId164" Type="http://schemas.openxmlformats.org/officeDocument/2006/relationships/image" Target="../media/image164.emf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26" Type="http://schemas.openxmlformats.org/officeDocument/2006/relationships/image" Target="../media/image27.jpeg"/><Relationship Id="rId47" Type="http://schemas.openxmlformats.org/officeDocument/2006/relationships/image" Target="../media/image48.png"/><Relationship Id="rId68" Type="http://schemas.openxmlformats.org/officeDocument/2006/relationships/image" Target="../media/image69.png"/><Relationship Id="rId89" Type="http://schemas.openxmlformats.org/officeDocument/2006/relationships/image" Target="../media/image90.png"/><Relationship Id="rId112" Type="http://schemas.openxmlformats.org/officeDocument/2006/relationships/image" Target="../media/image113.emf"/><Relationship Id="rId133" Type="http://schemas.openxmlformats.org/officeDocument/2006/relationships/image" Target="../media/image134.emf"/><Relationship Id="rId154" Type="http://schemas.openxmlformats.org/officeDocument/2006/relationships/image" Target="../media/image155.emf"/><Relationship Id="rId16" Type="http://schemas.openxmlformats.org/officeDocument/2006/relationships/image" Target="../media/image17.jpeg"/><Relationship Id="rId37" Type="http://schemas.openxmlformats.org/officeDocument/2006/relationships/image" Target="../media/image38.jpeg"/><Relationship Id="rId58" Type="http://schemas.openxmlformats.org/officeDocument/2006/relationships/image" Target="../media/image59.png"/><Relationship Id="rId79" Type="http://schemas.openxmlformats.org/officeDocument/2006/relationships/image" Target="../media/image80.jpeg"/><Relationship Id="rId102" Type="http://schemas.openxmlformats.org/officeDocument/2006/relationships/image" Target="../media/image103.jpeg"/><Relationship Id="rId123" Type="http://schemas.openxmlformats.org/officeDocument/2006/relationships/image" Target="../media/image124.emf"/><Relationship Id="rId144" Type="http://schemas.openxmlformats.org/officeDocument/2006/relationships/image" Target="../media/image145.png"/><Relationship Id="rId90" Type="http://schemas.openxmlformats.org/officeDocument/2006/relationships/image" Target="../media/image91.png"/><Relationship Id="rId27" Type="http://schemas.openxmlformats.org/officeDocument/2006/relationships/image" Target="../media/image28.png"/><Relationship Id="rId48" Type="http://schemas.openxmlformats.org/officeDocument/2006/relationships/image" Target="../media/image49.png"/><Relationship Id="rId69" Type="http://schemas.openxmlformats.org/officeDocument/2006/relationships/image" Target="../media/image70.png"/><Relationship Id="rId113" Type="http://schemas.openxmlformats.org/officeDocument/2006/relationships/image" Target="../media/image114.emf"/><Relationship Id="rId134" Type="http://schemas.openxmlformats.org/officeDocument/2006/relationships/image" Target="../media/image135.emf"/><Relationship Id="rId80" Type="http://schemas.openxmlformats.org/officeDocument/2006/relationships/image" Target="../media/image81.jpeg"/><Relationship Id="rId155" Type="http://schemas.openxmlformats.org/officeDocument/2006/relationships/image" Target="../media/image156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2.jpeg"/><Relationship Id="rId13" Type="http://schemas.openxmlformats.org/officeDocument/2006/relationships/image" Target="../media/image177.jpeg"/><Relationship Id="rId18" Type="http://schemas.openxmlformats.org/officeDocument/2006/relationships/image" Target="../media/image182.png"/><Relationship Id="rId3" Type="http://schemas.openxmlformats.org/officeDocument/2006/relationships/image" Target="../media/image167.png"/><Relationship Id="rId21" Type="http://schemas.openxmlformats.org/officeDocument/2006/relationships/image" Target="../media/image185.jpeg"/><Relationship Id="rId7" Type="http://schemas.openxmlformats.org/officeDocument/2006/relationships/image" Target="../media/image171.jpeg"/><Relationship Id="rId12" Type="http://schemas.openxmlformats.org/officeDocument/2006/relationships/image" Target="../media/image176.jpeg"/><Relationship Id="rId17" Type="http://schemas.openxmlformats.org/officeDocument/2006/relationships/image" Target="../media/image181.jpeg"/><Relationship Id="rId2" Type="http://schemas.openxmlformats.org/officeDocument/2006/relationships/image" Target="../media/image166.emf"/><Relationship Id="rId16" Type="http://schemas.openxmlformats.org/officeDocument/2006/relationships/image" Target="../media/image180.jpeg"/><Relationship Id="rId20" Type="http://schemas.openxmlformats.org/officeDocument/2006/relationships/image" Target="../media/image184.png"/><Relationship Id="rId1" Type="http://schemas.openxmlformats.org/officeDocument/2006/relationships/image" Target="../media/image165.png"/><Relationship Id="rId6" Type="http://schemas.openxmlformats.org/officeDocument/2006/relationships/image" Target="../media/image170.emf"/><Relationship Id="rId11" Type="http://schemas.openxmlformats.org/officeDocument/2006/relationships/image" Target="../media/image175.jpeg"/><Relationship Id="rId5" Type="http://schemas.openxmlformats.org/officeDocument/2006/relationships/image" Target="../media/image169.png"/><Relationship Id="rId15" Type="http://schemas.openxmlformats.org/officeDocument/2006/relationships/image" Target="../media/image179.jpeg"/><Relationship Id="rId23" Type="http://schemas.openxmlformats.org/officeDocument/2006/relationships/image" Target="../media/image1.png"/><Relationship Id="rId10" Type="http://schemas.openxmlformats.org/officeDocument/2006/relationships/image" Target="../media/image174.jpeg"/><Relationship Id="rId19" Type="http://schemas.openxmlformats.org/officeDocument/2006/relationships/image" Target="../media/image183.jpeg"/><Relationship Id="rId4" Type="http://schemas.openxmlformats.org/officeDocument/2006/relationships/image" Target="../media/image168.png"/><Relationship Id="rId9" Type="http://schemas.openxmlformats.org/officeDocument/2006/relationships/image" Target="../media/image173.jpeg"/><Relationship Id="rId14" Type="http://schemas.openxmlformats.org/officeDocument/2006/relationships/image" Target="../media/image178.jpeg"/><Relationship Id="rId22" Type="http://schemas.openxmlformats.org/officeDocument/2006/relationships/image" Target="../media/image18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2</xdr:row>
      <xdr:rowOff>7620</xdr:rowOff>
    </xdr:from>
    <xdr:to>
      <xdr:col>2</xdr:col>
      <xdr:colOff>1150620</xdr:colOff>
      <xdr:row>4</xdr:row>
      <xdr:rowOff>114300</xdr:rowOff>
    </xdr:to>
    <xdr:pic>
      <xdr:nvPicPr>
        <xdr:cNvPr id="1063" name="Picture 383" descr="1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98120"/>
          <a:ext cx="15849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579120</xdr:colOff>
      <xdr:row>70</xdr:row>
      <xdr:rowOff>60960</xdr:rowOff>
    </xdr:from>
    <xdr:to>
      <xdr:col>4</xdr:col>
      <xdr:colOff>1059180</xdr:colOff>
      <xdr:row>76</xdr:row>
      <xdr:rowOff>129540</xdr:rowOff>
    </xdr:to>
    <xdr:pic>
      <xdr:nvPicPr>
        <xdr:cNvPr id="10481" name="Picture 4" descr="Geometriya_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440" y="12992100"/>
          <a:ext cx="4800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60960</xdr:colOff>
      <xdr:row>70</xdr:row>
      <xdr:rowOff>45720</xdr:rowOff>
    </xdr:from>
    <xdr:to>
      <xdr:col>6</xdr:col>
      <xdr:colOff>541020</xdr:colOff>
      <xdr:row>76</xdr:row>
      <xdr:rowOff>121920</xdr:rowOff>
    </xdr:to>
    <xdr:pic>
      <xdr:nvPicPr>
        <xdr:cNvPr id="10482" name="Picture 8" descr="Geometriya_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8080" y="12976860"/>
          <a:ext cx="48006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548640</xdr:colOff>
      <xdr:row>70</xdr:row>
      <xdr:rowOff>45720</xdr:rowOff>
    </xdr:from>
    <xdr:to>
      <xdr:col>6</xdr:col>
      <xdr:colOff>1028700</xdr:colOff>
      <xdr:row>76</xdr:row>
      <xdr:rowOff>121920</xdr:rowOff>
    </xdr:to>
    <xdr:pic>
      <xdr:nvPicPr>
        <xdr:cNvPr id="10483" name="Picture 9" descr="Geometriya_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5760" y="12976860"/>
          <a:ext cx="48006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45720</xdr:colOff>
      <xdr:row>70</xdr:row>
      <xdr:rowOff>45720</xdr:rowOff>
    </xdr:from>
    <xdr:to>
      <xdr:col>8</xdr:col>
      <xdr:colOff>525780</xdr:colOff>
      <xdr:row>76</xdr:row>
      <xdr:rowOff>121920</xdr:rowOff>
    </xdr:to>
    <xdr:pic>
      <xdr:nvPicPr>
        <xdr:cNvPr id="10484" name="Picture 10" descr="Geometriya_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9640" y="12976860"/>
          <a:ext cx="48006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571500</xdr:colOff>
      <xdr:row>70</xdr:row>
      <xdr:rowOff>45720</xdr:rowOff>
    </xdr:from>
    <xdr:to>
      <xdr:col>8</xdr:col>
      <xdr:colOff>1059180</xdr:colOff>
      <xdr:row>76</xdr:row>
      <xdr:rowOff>121920</xdr:rowOff>
    </xdr:to>
    <xdr:pic>
      <xdr:nvPicPr>
        <xdr:cNvPr id="10485" name="Picture 11" descr="Geometriya_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5420" y="12976860"/>
          <a:ext cx="48768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45720</xdr:colOff>
      <xdr:row>70</xdr:row>
      <xdr:rowOff>45720</xdr:rowOff>
    </xdr:from>
    <xdr:to>
      <xdr:col>10</xdr:col>
      <xdr:colOff>525780</xdr:colOff>
      <xdr:row>76</xdr:row>
      <xdr:rowOff>121920</xdr:rowOff>
    </xdr:to>
    <xdr:pic>
      <xdr:nvPicPr>
        <xdr:cNvPr id="10486" name="Picture 12" descr="Geometriya_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6440" y="12976860"/>
          <a:ext cx="48006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556260</xdr:colOff>
      <xdr:row>70</xdr:row>
      <xdr:rowOff>45720</xdr:rowOff>
    </xdr:from>
    <xdr:to>
      <xdr:col>10</xdr:col>
      <xdr:colOff>1036320</xdr:colOff>
      <xdr:row>76</xdr:row>
      <xdr:rowOff>121920</xdr:rowOff>
    </xdr:to>
    <xdr:pic>
      <xdr:nvPicPr>
        <xdr:cNvPr id="10487" name="Picture 13" descr="Geometriya_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6980" y="12976860"/>
          <a:ext cx="48006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45720</xdr:colOff>
      <xdr:row>70</xdr:row>
      <xdr:rowOff>45720</xdr:rowOff>
    </xdr:from>
    <xdr:to>
      <xdr:col>12</xdr:col>
      <xdr:colOff>525780</xdr:colOff>
      <xdr:row>76</xdr:row>
      <xdr:rowOff>121920</xdr:rowOff>
    </xdr:to>
    <xdr:pic>
      <xdr:nvPicPr>
        <xdr:cNvPr id="10488" name="Picture 14" descr="Geometriya_6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3240" y="12976860"/>
          <a:ext cx="48006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571500</xdr:colOff>
      <xdr:row>70</xdr:row>
      <xdr:rowOff>45720</xdr:rowOff>
    </xdr:from>
    <xdr:to>
      <xdr:col>12</xdr:col>
      <xdr:colOff>1059180</xdr:colOff>
      <xdr:row>76</xdr:row>
      <xdr:rowOff>121920</xdr:rowOff>
    </xdr:to>
    <xdr:pic>
      <xdr:nvPicPr>
        <xdr:cNvPr id="10489" name="Picture 15" descr="Geometriya_6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12976860"/>
          <a:ext cx="48768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335280</xdr:colOff>
      <xdr:row>100</xdr:row>
      <xdr:rowOff>60960</xdr:rowOff>
    </xdr:from>
    <xdr:to>
      <xdr:col>4</xdr:col>
      <xdr:colOff>800100</xdr:colOff>
      <xdr:row>106</xdr:row>
      <xdr:rowOff>129540</xdr:rowOff>
    </xdr:to>
    <xdr:pic>
      <xdr:nvPicPr>
        <xdr:cNvPr id="10490" name="Picture 70" descr="Idea_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873758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</xdr:colOff>
      <xdr:row>100</xdr:row>
      <xdr:rowOff>68580</xdr:rowOff>
    </xdr:from>
    <xdr:to>
      <xdr:col>6</xdr:col>
      <xdr:colOff>525780</xdr:colOff>
      <xdr:row>106</xdr:row>
      <xdr:rowOff>137160</xdr:rowOff>
    </xdr:to>
    <xdr:pic>
      <xdr:nvPicPr>
        <xdr:cNvPr id="10491" name="Picture 71" descr="Idea_3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2840" y="18745200"/>
          <a:ext cx="4800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579120</xdr:colOff>
      <xdr:row>100</xdr:row>
      <xdr:rowOff>68580</xdr:rowOff>
    </xdr:from>
    <xdr:to>
      <xdr:col>6</xdr:col>
      <xdr:colOff>1028700</xdr:colOff>
      <xdr:row>106</xdr:row>
      <xdr:rowOff>137160</xdr:rowOff>
    </xdr:to>
    <xdr:pic>
      <xdr:nvPicPr>
        <xdr:cNvPr id="10492" name="Picture 72" descr="Idea_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6240" y="18745200"/>
          <a:ext cx="44958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</xdr:colOff>
      <xdr:row>499</xdr:row>
      <xdr:rowOff>45720</xdr:rowOff>
    </xdr:from>
    <xdr:to>
      <xdr:col>4</xdr:col>
      <xdr:colOff>548640</xdr:colOff>
      <xdr:row>505</xdr:row>
      <xdr:rowOff>121919</xdr:rowOff>
    </xdr:to>
    <xdr:pic>
      <xdr:nvPicPr>
        <xdr:cNvPr id="10493" name="Picture 85" descr="Lada-Concept_2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96240600"/>
          <a:ext cx="48006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579120</xdr:colOff>
      <xdr:row>499</xdr:row>
      <xdr:rowOff>45720</xdr:rowOff>
    </xdr:from>
    <xdr:to>
      <xdr:col>4</xdr:col>
      <xdr:colOff>1028700</xdr:colOff>
      <xdr:row>505</xdr:row>
      <xdr:rowOff>121919</xdr:rowOff>
    </xdr:to>
    <xdr:pic>
      <xdr:nvPicPr>
        <xdr:cNvPr id="10494" name="Picture 86" descr="Lada-Concept_2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440" y="96240600"/>
          <a:ext cx="44958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365760</xdr:colOff>
      <xdr:row>659</xdr:row>
      <xdr:rowOff>99060</xdr:rowOff>
    </xdr:from>
    <xdr:to>
      <xdr:col>4</xdr:col>
      <xdr:colOff>800100</xdr:colOff>
      <xdr:row>666</xdr:row>
      <xdr:rowOff>0</xdr:rowOff>
    </xdr:to>
    <xdr:pic>
      <xdr:nvPicPr>
        <xdr:cNvPr id="10495" name="Picture 93" descr="Lineya_1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6080" y="128168400"/>
          <a:ext cx="4343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320040</xdr:colOff>
      <xdr:row>659</xdr:row>
      <xdr:rowOff>99060</xdr:rowOff>
    </xdr:from>
    <xdr:to>
      <xdr:col>6</xdr:col>
      <xdr:colOff>762000</xdr:colOff>
      <xdr:row>666</xdr:row>
      <xdr:rowOff>0</xdr:rowOff>
    </xdr:to>
    <xdr:pic>
      <xdr:nvPicPr>
        <xdr:cNvPr id="10496" name="Picture 96" descr="Lineya_3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7160" y="128168400"/>
          <a:ext cx="4419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297180</xdr:colOff>
      <xdr:row>659</xdr:row>
      <xdr:rowOff>99060</xdr:rowOff>
    </xdr:from>
    <xdr:to>
      <xdr:col>8</xdr:col>
      <xdr:colOff>762000</xdr:colOff>
      <xdr:row>666</xdr:row>
      <xdr:rowOff>0</xdr:rowOff>
    </xdr:to>
    <xdr:pic>
      <xdr:nvPicPr>
        <xdr:cNvPr id="10497" name="Picture 97" descr="Lineya_4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2816840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</xdr:colOff>
      <xdr:row>41</xdr:row>
      <xdr:rowOff>68580</xdr:rowOff>
    </xdr:from>
    <xdr:to>
      <xdr:col>4</xdr:col>
      <xdr:colOff>541020</xdr:colOff>
      <xdr:row>47</xdr:row>
      <xdr:rowOff>137160</xdr:rowOff>
    </xdr:to>
    <xdr:pic>
      <xdr:nvPicPr>
        <xdr:cNvPr id="10498" name="Picture 284" descr="Kupava_3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7566660"/>
          <a:ext cx="4724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579120</xdr:colOff>
      <xdr:row>41</xdr:row>
      <xdr:rowOff>76200</xdr:rowOff>
    </xdr:from>
    <xdr:to>
      <xdr:col>4</xdr:col>
      <xdr:colOff>1028700</xdr:colOff>
      <xdr:row>47</xdr:row>
      <xdr:rowOff>144780</xdr:rowOff>
    </xdr:to>
    <xdr:pic>
      <xdr:nvPicPr>
        <xdr:cNvPr id="10499" name="Picture 285" descr="Kupava_3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440" y="7574280"/>
          <a:ext cx="44958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41</xdr:row>
      <xdr:rowOff>76200</xdr:rowOff>
    </xdr:from>
    <xdr:to>
      <xdr:col>6</xdr:col>
      <xdr:colOff>525780</xdr:colOff>
      <xdr:row>47</xdr:row>
      <xdr:rowOff>144780</xdr:rowOff>
    </xdr:to>
    <xdr:pic>
      <xdr:nvPicPr>
        <xdr:cNvPr id="10500" name="Picture 286" descr="Kupava_4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3320" y="7574280"/>
          <a:ext cx="44958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571500</xdr:colOff>
      <xdr:row>41</xdr:row>
      <xdr:rowOff>76200</xdr:rowOff>
    </xdr:from>
    <xdr:to>
      <xdr:col>6</xdr:col>
      <xdr:colOff>1021080</xdr:colOff>
      <xdr:row>47</xdr:row>
      <xdr:rowOff>144780</xdr:rowOff>
    </xdr:to>
    <xdr:pic>
      <xdr:nvPicPr>
        <xdr:cNvPr id="10501" name="Picture 287" descr="Kupava_4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8620" y="7574280"/>
          <a:ext cx="44958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60960</xdr:colOff>
      <xdr:row>70</xdr:row>
      <xdr:rowOff>60960</xdr:rowOff>
    </xdr:from>
    <xdr:to>
      <xdr:col>4</xdr:col>
      <xdr:colOff>525780</xdr:colOff>
      <xdr:row>76</xdr:row>
      <xdr:rowOff>129540</xdr:rowOff>
    </xdr:to>
    <xdr:pic>
      <xdr:nvPicPr>
        <xdr:cNvPr id="10502" name="Picture 338" descr="Geometriya_1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1280" y="1299210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806</xdr:row>
      <xdr:rowOff>91440</xdr:rowOff>
    </xdr:from>
    <xdr:to>
      <xdr:col>4</xdr:col>
      <xdr:colOff>693420</xdr:colOff>
      <xdr:row>812</xdr:row>
      <xdr:rowOff>160019</xdr:rowOff>
    </xdr:to>
    <xdr:pic>
      <xdr:nvPicPr>
        <xdr:cNvPr id="10503" name="Picture 468" descr="Dobor_A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320" y="156705300"/>
          <a:ext cx="3124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411480</xdr:colOff>
      <xdr:row>806</xdr:row>
      <xdr:rowOff>91440</xdr:rowOff>
    </xdr:from>
    <xdr:to>
      <xdr:col>6</xdr:col>
      <xdr:colOff>716280</xdr:colOff>
      <xdr:row>812</xdr:row>
      <xdr:rowOff>160019</xdr:rowOff>
    </xdr:to>
    <xdr:pic>
      <xdr:nvPicPr>
        <xdr:cNvPr id="10504" name="Picture 469" descr="Dobor_B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56705300"/>
          <a:ext cx="3048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</xdr:colOff>
      <xdr:row>100</xdr:row>
      <xdr:rowOff>76200</xdr:rowOff>
    </xdr:from>
    <xdr:to>
      <xdr:col>8</xdr:col>
      <xdr:colOff>518160</xdr:colOff>
      <xdr:row>106</xdr:row>
      <xdr:rowOff>144780</xdr:rowOff>
    </xdr:to>
    <xdr:pic>
      <xdr:nvPicPr>
        <xdr:cNvPr id="10505" name="Picture 509" descr="Idea_4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0120" y="18752820"/>
          <a:ext cx="4419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556260</xdr:colOff>
      <xdr:row>100</xdr:row>
      <xdr:rowOff>76200</xdr:rowOff>
    </xdr:from>
    <xdr:to>
      <xdr:col>8</xdr:col>
      <xdr:colOff>998220</xdr:colOff>
      <xdr:row>106</xdr:row>
      <xdr:rowOff>144780</xdr:rowOff>
    </xdr:to>
    <xdr:pic>
      <xdr:nvPicPr>
        <xdr:cNvPr id="10506" name="Picture 510" descr="Idea_4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0180" y="18752820"/>
          <a:ext cx="4419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68580</xdr:colOff>
      <xdr:row>100</xdr:row>
      <xdr:rowOff>76200</xdr:rowOff>
    </xdr:from>
    <xdr:to>
      <xdr:col>10</xdr:col>
      <xdr:colOff>541020</xdr:colOff>
      <xdr:row>106</xdr:row>
      <xdr:rowOff>144780</xdr:rowOff>
    </xdr:to>
    <xdr:pic>
      <xdr:nvPicPr>
        <xdr:cNvPr id="10507" name="Picture 513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8752820"/>
          <a:ext cx="4724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579120</xdr:colOff>
      <xdr:row>100</xdr:row>
      <xdr:rowOff>76200</xdr:rowOff>
    </xdr:from>
    <xdr:to>
      <xdr:col>10</xdr:col>
      <xdr:colOff>1036320</xdr:colOff>
      <xdr:row>106</xdr:row>
      <xdr:rowOff>144780</xdr:rowOff>
    </xdr:to>
    <xdr:pic>
      <xdr:nvPicPr>
        <xdr:cNvPr id="10508" name="Picture 514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40" y="18752820"/>
          <a:ext cx="4572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76200</xdr:colOff>
      <xdr:row>100</xdr:row>
      <xdr:rowOff>76200</xdr:rowOff>
    </xdr:from>
    <xdr:to>
      <xdr:col>12</xdr:col>
      <xdr:colOff>525780</xdr:colOff>
      <xdr:row>106</xdr:row>
      <xdr:rowOff>144780</xdr:rowOff>
    </xdr:to>
    <xdr:pic>
      <xdr:nvPicPr>
        <xdr:cNvPr id="10509" name="Picture 515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3720" y="18752820"/>
          <a:ext cx="44958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556260</xdr:colOff>
      <xdr:row>100</xdr:row>
      <xdr:rowOff>76200</xdr:rowOff>
    </xdr:from>
    <xdr:to>
      <xdr:col>12</xdr:col>
      <xdr:colOff>998220</xdr:colOff>
      <xdr:row>106</xdr:row>
      <xdr:rowOff>144780</xdr:rowOff>
    </xdr:to>
    <xdr:pic>
      <xdr:nvPicPr>
        <xdr:cNvPr id="10510" name="Picture 518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780" y="18752820"/>
          <a:ext cx="4419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60960</xdr:colOff>
      <xdr:row>499</xdr:row>
      <xdr:rowOff>60960</xdr:rowOff>
    </xdr:from>
    <xdr:to>
      <xdr:col>6</xdr:col>
      <xdr:colOff>495300</xdr:colOff>
      <xdr:row>505</xdr:row>
      <xdr:rowOff>129539</xdr:rowOff>
    </xdr:to>
    <xdr:pic>
      <xdr:nvPicPr>
        <xdr:cNvPr id="10511" name="Picture 524" descr="Lada-Concept_3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8080" y="96255840"/>
          <a:ext cx="4343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541020</xdr:colOff>
      <xdr:row>499</xdr:row>
      <xdr:rowOff>60960</xdr:rowOff>
    </xdr:from>
    <xdr:to>
      <xdr:col>6</xdr:col>
      <xdr:colOff>998220</xdr:colOff>
      <xdr:row>505</xdr:row>
      <xdr:rowOff>129539</xdr:rowOff>
    </xdr:to>
    <xdr:pic>
      <xdr:nvPicPr>
        <xdr:cNvPr id="10512" name="Picture 525" descr="Lada-Concept_3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8140" y="96255840"/>
          <a:ext cx="4572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</xdr:colOff>
      <xdr:row>499</xdr:row>
      <xdr:rowOff>60960</xdr:rowOff>
    </xdr:from>
    <xdr:to>
      <xdr:col>8</xdr:col>
      <xdr:colOff>518160</xdr:colOff>
      <xdr:row>505</xdr:row>
      <xdr:rowOff>129539</xdr:rowOff>
    </xdr:to>
    <xdr:pic>
      <xdr:nvPicPr>
        <xdr:cNvPr id="10513" name="Picture 528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4880" y="96255840"/>
          <a:ext cx="4572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571500</xdr:colOff>
      <xdr:row>499</xdr:row>
      <xdr:rowOff>45720</xdr:rowOff>
    </xdr:from>
    <xdr:to>
      <xdr:col>8</xdr:col>
      <xdr:colOff>1036320</xdr:colOff>
      <xdr:row>505</xdr:row>
      <xdr:rowOff>121919</xdr:rowOff>
    </xdr:to>
    <xdr:pic>
      <xdr:nvPicPr>
        <xdr:cNvPr id="10514" name="Picture 529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5420" y="96240600"/>
          <a:ext cx="46482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297180</xdr:colOff>
      <xdr:row>499</xdr:row>
      <xdr:rowOff>60960</xdr:rowOff>
    </xdr:from>
    <xdr:to>
      <xdr:col>14</xdr:col>
      <xdr:colOff>762000</xdr:colOff>
      <xdr:row>505</xdr:row>
      <xdr:rowOff>129539</xdr:rowOff>
    </xdr:to>
    <xdr:pic>
      <xdr:nvPicPr>
        <xdr:cNvPr id="10515" name="Picture 531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9625584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281940</xdr:colOff>
      <xdr:row>531</xdr:row>
      <xdr:rowOff>60960</xdr:rowOff>
    </xdr:from>
    <xdr:to>
      <xdr:col>14</xdr:col>
      <xdr:colOff>754380</xdr:colOff>
      <xdr:row>537</xdr:row>
      <xdr:rowOff>129541</xdr:rowOff>
    </xdr:to>
    <xdr:pic>
      <xdr:nvPicPr>
        <xdr:cNvPr id="10516" name="Picture 541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6260" y="102649020"/>
          <a:ext cx="4724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99060</xdr:colOff>
      <xdr:row>531</xdr:row>
      <xdr:rowOff>60960</xdr:rowOff>
    </xdr:from>
    <xdr:to>
      <xdr:col>4</xdr:col>
      <xdr:colOff>541020</xdr:colOff>
      <xdr:row>537</xdr:row>
      <xdr:rowOff>129541</xdr:rowOff>
    </xdr:to>
    <xdr:pic>
      <xdr:nvPicPr>
        <xdr:cNvPr id="10517" name="Picture 550" descr="Lada-Nova_4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02649020"/>
          <a:ext cx="4419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586740</xdr:colOff>
      <xdr:row>531</xdr:row>
      <xdr:rowOff>60960</xdr:rowOff>
    </xdr:from>
    <xdr:to>
      <xdr:col>4</xdr:col>
      <xdr:colOff>1028700</xdr:colOff>
      <xdr:row>537</xdr:row>
      <xdr:rowOff>129541</xdr:rowOff>
    </xdr:to>
    <xdr:pic>
      <xdr:nvPicPr>
        <xdr:cNvPr id="10518" name="Picture 551" descr="Lada-Nova_4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7060" y="102649020"/>
          <a:ext cx="4419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320040</xdr:colOff>
      <xdr:row>499</xdr:row>
      <xdr:rowOff>60960</xdr:rowOff>
    </xdr:from>
    <xdr:to>
      <xdr:col>10</xdr:col>
      <xdr:colOff>784860</xdr:colOff>
      <xdr:row>505</xdr:row>
      <xdr:rowOff>129539</xdr:rowOff>
    </xdr:to>
    <xdr:pic>
      <xdr:nvPicPr>
        <xdr:cNvPr id="10519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0760" y="9625584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342900</xdr:colOff>
      <xdr:row>499</xdr:row>
      <xdr:rowOff>60960</xdr:rowOff>
    </xdr:from>
    <xdr:to>
      <xdr:col>12</xdr:col>
      <xdr:colOff>800100</xdr:colOff>
      <xdr:row>505</xdr:row>
      <xdr:rowOff>129539</xdr:rowOff>
    </xdr:to>
    <xdr:pic>
      <xdr:nvPicPr>
        <xdr:cNvPr id="10520" name="Picture 685" descr="Lada-Concept_5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0420" y="96255840"/>
          <a:ext cx="4572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297180</xdr:colOff>
      <xdr:row>531</xdr:row>
      <xdr:rowOff>60960</xdr:rowOff>
    </xdr:from>
    <xdr:to>
      <xdr:col>10</xdr:col>
      <xdr:colOff>762000</xdr:colOff>
      <xdr:row>537</xdr:row>
      <xdr:rowOff>129541</xdr:rowOff>
    </xdr:to>
    <xdr:pic>
      <xdr:nvPicPr>
        <xdr:cNvPr id="10521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264902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304800</xdr:colOff>
      <xdr:row>531</xdr:row>
      <xdr:rowOff>60960</xdr:rowOff>
    </xdr:from>
    <xdr:to>
      <xdr:col>12</xdr:col>
      <xdr:colOff>769620</xdr:colOff>
      <xdr:row>537</xdr:row>
      <xdr:rowOff>129541</xdr:rowOff>
    </xdr:to>
    <xdr:pic>
      <xdr:nvPicPr>
        <xdr:cNvPr id="10522" name="Picture 696" descr="Lada-Nova_7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2320" y="10264902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312420</xdr:colOff>
      <xdr:row>531</xdr:row>
      <xdr:rowOff>60960</xdr:rowOff>
    </xdr:from>
    <xdr:to>
      <xdr:col>6</xdr:col>
      <xdr:colOff>784860</xdr:colOff>
      <xdr:row>537</xdr:row>
      <xdr:rowOff>129541</xdr:rowOff>
    </xdr:to>
    <xdr:pic>
      <xdr:nvPicPr>
        <xdr:cNvPr id="10523" name="Picture 697" descr="Lada-Nova_6a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9540" y="102649020"/>
          <a:ext cx="4724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297180</xdr:colOff>
      <xdr:row>531</xdr:row>
      <xdr:rowOff>60960</xdr:rowOff>
    </xdr:from>
    <xdr:to>
      <xdr:col>8</xdr:col>
      <xdr:colOff>754380</xdr:colOff>
      <xdr:row>537</xdr:row>
      <xdr:rowOff>129541</xdr:rowOff>
    </xdr:to>
    <xdr:pic>
      <xdr:nvPicPr>
        <xdr:cNvPr id="10524" name="Picture 701" descr="Lada-Nova_6a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02649020"/>
          <a:ext cx="4572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</xdr:colOff>
      <xdr:row>563</xdr:row>
      <xdr:rowOff>22860</xdr:rowOff>
    </xdr:from>
    <xdr:to>
      <xdr:col>4</xdr:col>
      <xdr:colOff>541020</xdr:colOff>
      <xdr:row>569</xdr:row>
      <xdr:rowOff>144781</xdr:rowOff>
    </xdr:to>
    <xdr:pic>
      <xdr:nvPicPr>
        <xdr:cNvPr id="10525" name="Рисунок 191" descr="Loft 1_0_401.png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08981240"/>
          <a:ext cx="47244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571500</xdr:colOff>
      <xdr:row>563</xdr:row>
      <xdr:rowOff>22860</xdr:rowOff>
    </xdr:from>
    <xdr:to>
      <xdr:col>4</xdr:col>
      <xdr:colOff>1028700</xdr:colOff>
      <xdr:row>569</xdr:row>
      <xdr:rowOff>137161</xdr:rowOff>
    </xdr:to>
    <xdr:pic>
      <xdr:nvPicPr>
        <xdr:cNvPr id="10526" name="Рисунок 192" descr="Loft 1_1_401.png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820" y="108981240"/>
          <a:ext cx="457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60960</xdr:colOff>
      <xdr:row>307</xdr:row>
      <xdr:rowOff>60960</xdr:rowOff>
    </xdr:from>
    <xdr:to>
      <xdr:col>4</xdr:col>
      <xdr:colOff>518160</xdr:colOff>
      <xdr:row>313</xdr:row>
      <xdr:rowOff>129539</xdr:rowOff>
    </xdr:to>
    <xdr:pic>
      <xdr:nvPicPr>
        <xdr:cNvPr id="10527" name="Рисунок 223" descr="Lada 2A.0.png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1280" y="58033920"/>
          <a:ext cx="4572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579120</xdr:colOff>
      <xdr:row>307</xdr:row>
      <xdr:rowOff>45720</xdr:rowOff>
    </xdr:from>
    <xdr:to>
      <xdr:col>4</xdr:col>
      <xdr:colOff>1043940</xdr:colOff>
      <xdr:row>313</xdr:row>
      <xdr:rowOff>121919</xdr:rowOff>
    </xdr:to>
    <xdr:pic>
      <xdr:nvPicPr>
        <xdr:cNvPr id="10528" name="Рисунок 224" descr="Lada 2A.1.png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440" y="58018680"/>
          <a:ext cx="46482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60960</xdr:colOff>
      <xdr:row>307</xdr:row>
      <xdr:rowOff>60960</xdr:rowOff>
    </xdr:from>
    <xdr:to>
      <xdr:col>6</xdr:col>
      <xdr:colOff>518160</xdr:colOff>
      <xdr:row>313</xdr:row>
      <xdr:rowOff>129539</xdr:rowOff>
    </xdr:to>
    <xdr:pic>
      <xdr:nvPicPr>
        <xdr:cNvPr id="10529" name="Рисунок 225" descr="Lada 3A.0.png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8080" y="58033920"/>
          <a:ext cx="4572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556260</xdr:colOff>
      <xdr:row>307</xdr:row>
      <xdr:rowOff>45720</xdr:rowOff>
    </xdr:from>
    <xdr:to>
      <xdr:col>6</xdr:col>
      <xdr:colOff>1028700</xdr:colOff>
      <xdr:row>313</xdr:row>
      <xdr:rowOff>121919</xdr:rowOff>
    </xdr:to>
    <xdr:pic>
      <xdr:nvPicPr>
        <xdr:cNvPr id="10530" name="Рисунок 226" descr="Lada 3A.2.png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380" y="58018680"/>
          <a:ext cx="47244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45720</xdr:colOff>
      <xdr:row>307</xdr:row>
      <xdr:rowOff>45720</xdr:rowOff>
    </xdr:from>
    <xdr:to>
      <xdr:col>8</xdr:col>
      <xdr:colOff>510540</xdr:colOff>
      <xdr:row>313</xdr:row>
      <xdr:rowOff>121919</xdr:rowOff>
    </xdr:to>
    <xdr:pic>
      <xdr:nvPicPr>
        <xdr:cNvPr id="10531" name="Рисунок 227" descr="Lada 8.0.png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9640" y="58018680"/>
          <a:ext cx="46482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586740</xdr:colOff>
      <xdr:row>307</xdr:row>
      <xdr:rowOff>45720</xdr:rowOff>
    </xdr:from>
    <xdr:to>
      <xdr:col>8</xdr:col>
      <xdr:colOff>1028700</xdr:colOff>
      <xdr:row>313</xdr:row>
      <xdr:rowOff>121919</xdr:rowOff>
    </xdr:to>
    <xdr:pic>
      <xdr:nvPicPr>
        <xdr:cNvPr id="10532" name="Рисунок 228" descr="Lada 8.5.png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0660" y="58018680"/>
          <a:ext cx="44196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571500</xdr:colOff>
      <xdr:row>467</xdr:row>
      <xdr:rowOff>45720</xdr:rowOff>
    </xdr:from>
    <xdr:to>
      <xdr:col>4</xdr:col>
      <xdr:colOff>1043940</xdr:colOff>
      <xdr:row>473</xdr:row>
      <xdr:rowOff>121919</xdr:rowOff>
    </xdr:to>
    <xdr:pic>
      <xdr:nvPicPr>
        <xdr:cNvPr id="10533" name="Рисунок 187" descr="Lisa 2.2.png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820" y="89870280"/>
          <a:ext cx="47244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</xdr:colOff>
      <xdr:row>467</xdr:row>
      <xdr:rowOff>60960</xdr:rowOff>
    </xdr:from>
    <xdr:to>
      <xdr:col>6</xdr:col>
      <xdr:colOff>510540</xdr:colOff>
      <xdr:row>473</xdr:row>
      <xdr:rowOff>129539</xdr:rowOff>
    </xdr:to>
    <xdr:pic>
      <xdr:nvPicPr>
        <xdr:cNvPr id="10534" name="Рисунок 188" descr="Lisa 3.0.png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9885520"/>
          <a:ext cx="4800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556260</xdr:colOff>
      <xdr:row>467</xdr:row>
      <xdr:rowOff>60960</xdr:rowOff>
    </xdr:from>
    <xdr:to>
      <xdr:col>6</xdr:col>
      <xdr:colOff>1036320</xdr:colOff>
      <xdr:row>473</xdr:row>
      <xdr:rowOff>129539</xdr:rowOff>
    </xdr:to>
    <xdr:pic>
      <xdr:nvPicPr>
        <xdr:cNvPr id="10535" name="Рисунок 189" descr="Lisa 3.4.png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380" y="89885520"/>
          <a:ext cx="4800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60960</xdr:colOff>
      <xdr:row>595</xdr:row>
      <xdr:rowOff>76200</xdr:rowOff>
    </xdr:from>
    <xdr:to>
      <xdr:col>4</xdr:col>
      <xdr:colOff>525780</xdr:colOff>
      <xdr:row>601</xdr:row>
      <xdr:rowOff>144781</xdr:rowOff>
    </xdr:to>
    <xdr:pic>
      <xdr:nvPicPr>
        <xdr:cNvPr id="10536" name="Рисунок 210" descr="Tiana 1.0.png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1280" y="11540490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579120</xdr:colOff>
      <xdr:row>595</xdr:row>
      <xdr:rowOff>76200</xdr:rowOff>
    </xdr:from>
    <xdr:to>
      <xdr:col>4</xdr:col>
      <xdr:colOff>1043940</xdr:colOff>
      <xdr:row>601</xdr:row>
      <xdr:rowOff>144781</xdr:rowOff>
    </xdr:to>
    <xdr:pic>
      <xdr:nvPicPr>
        <xdr:cNvPr id="10537" name="Рисунок 211" descr="Tiana 1.5.png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440" y="11540490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595</xdr:row>
      <xdr:rowOff>76200</xdr:rowOff>
    </xdr:from>
    <xdr:to>
      <xdr:col>6</xdr:col>
      <xdr:colOff>541020</xdr:colOff>
      <xdr:row>601</xdr:row>
      <xdr:rowOff>144781</xdr:rowOff>
    </xdr:to>
    <xdr:pic>
      <xdr:nvPicPr>
        <xdr:cNvPr id="10538" name="Рисунок 212" descr="Tiana 1.6.png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3320" y="11540490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579120</xdr:colOff>
      <xdr:row>595</xdr:row>
      <xdr:rowOff>91440</xdr:rowOff>
    </xdr:from>
    <xdr:to>
      <xdr:col>6</xdr:col>
      <xdr:colOff>1043940</xdr:colOff>
      <xdr:row>601</xdr:row>
      <xdr:rowOff>160021</xdr:rowOff>
    </xdr:to>
    <xdr:pic>
      <xdr:nvPicPr>
        <xdr:cNvPr id="10539" name="Рисунок 213" descr="Tiana 1.9.png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6240" y="11542014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</xdr:colOff>
      <xdr:row>627</xdr:row>
      <xdr:rowOff>68580</xdr:rowOff>
    </xdr:from>
    <xdr:to>
      <xdr:col>4</xdr:col>
      <xdr:colOff>541020</xdr:colOff>
      <xdr:row>633</xdr:row>
      <xdr:rowOff>137161</xdr:rowOff>
    </xdr:to>
    <xdr:pic>
      <xdr:nvPicPr>
        <xdr:cNvPr id="10540" name="Рисунок 220" descr="Eva 2.0.png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21767600"/>
          <a:ext cx="4724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579120</xdr:colOff>
      <xdr:row>627</xdr:row>
      <xdr:rowOff>68580</xdr:rowOff>
    </xdr:from>
    <xdr:to>
      <xdr:col>4</xdr:col>
      <xdr:colOff>1028700</xdr:colOff>
      <xdr:row>633</xdr:row>
      <xdr:rowOff>137161</xdr:rowOff>
    </xdr:to>
    <xdr:pic>
      <xdr:nvPicPr>
        <xdr:cNvPr id="10541" name="Рисунок 221" descr="Eva 2.2.png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440" y="121767600"/>
          <a:ext cx="44958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68580</xdr:colOff>
      <xdr:row>627</xdr:row>
      <xdr:rowOff>76200</xdr:rowOff>
    </xdr:from>
    <xdr:to>
      <xdr:col>6</xdr:col>
      <xdr:colOff>541020</xdr:colOff>
      <xdr:row>633</xdr:row>
      <xdr:rowOff>144781</xdr:rowOff>
    </xdr:to>
    <xdr:pic>
      <xdr:nvPicPr>
        <xdr:cNvPr id="10542" name="Рисунок 222" descr="Eva 4.0.png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21775220"/>
          <a:ext cx="4724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586740</xdr:colOff>
      <xdr:row>627</xdr:row>
      <xdr:rowOff>68580</xdr:rowOff>
    </xdr:from>
    <xdr:to>
      <xdr:col>6</xdr:col>
      <xdr:colOff>1059180</xdr:colOff>
      <xdr:row>633</xdr:row>
      <xdr:rowOff>137161</xdr:rowOff>
    </xdr:to>
    <xdr:pic>
      <xdr:nvPicPr>
        <xdr:cNvPr id="10543" name="Рисунок 223" descr="Eva 4.4.png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3860" y="121767600"/>
          <a:ext cx="4724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</xdr:colOff>
      <xdr:row>627</xdr:row>
      <xdr:rowOff>76200</xdr:rowOff>
    </xdr:from>
    <xdr:to>
      <xdr:col>8</xdr:col>
      <xdr:colOff>518160</xdr:colOff>
      <xdr:row>633</xdr:row>
      <xdr:rowOff>144781</xdr:rowOff>
    </xdr:to>
    <xdr:pic>
      <xdr:nvPicPr>
        <xdr:cNvPr id="10544" name="Рисунок 224" descr="Eva 4.5.png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4880" y="121775220"/>
          <a:ext cx="4572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579120</xdr:colOff>
      <xdr:row>627</xdr:row>
      <xdr:rowOff>76200</xdr:rowOff>
    </xdr:from>
    <xdr:to>
      <xdr:col>8</xdr:col>
      <xdr:colOff>1036320</xdr:colOff>
      <xdr:row>633</xdr:row>
      <xdr:rowOff>144781</xdr:rowOff>
    </xdr:to>
    <xdr:pic>
      <xdr:nvPicPr>
        <xdr:cNvPr id="10545" name="Рисунок 225" descr="Eva 4.6.png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121775220"/>
          <a:ext cx="4572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281940</xdr:colOff>
      <xdr:row>777</xdr:row>
      <xdr:rowOff>76200</xdr:rowOff>
    </xdr:from>
    <xdr:to>
      <xdr:col>4</xdr:col>
      <xdr:colOff>525780</xdr:colOff>
      <xdr:row>783</xdr:row>
      <xdr:rowOff>144779</xdr:rowOff>
    </xdr:to>
    <xdr:pic>
      <xdr:nvPicPr>
        <xdr:cNvPr id="10546" name="Рисунок 217" descr="L1.0.png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2260" y="150891240"/>
          <a:ext cx="2438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</xdr:colOff>
      <xdr:row>777</xdr:row>
      <xdr:rowOff>76200</xdr:rowOff>
    </xdr:from>
    <xdr:to>
      <xdr:col>6</xdr:col>
      <xdr:colOff>365760</xdr:colOff>
      <xdr:row>783</xdr:row>
      <xdr:rowOff>144779</xdr:rowOff>
    </xdr:to>
    <xdr:pic>
      <xdr:nvPicPr>
        <xdr:cNvPr id="10547" name="Рисунок 219" descr="L3.0.png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0891240"/>
          <a:ext cx="2514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441960</xdr:colOff>
      <xdr:row>777</xdr:row>
      <xdr:rowOff>76200</xdr:rowOff>
    </xdr:from>
    <xdr:to>
      <xdr:col>6</xdr:col>
      <xdr:colOff>662940</xdr:colOff>
      <xdr:row>783</xdr:row>
      <xdr:rowOff>144779</xdr:rowOff>
    </xdr:to>
    <xdr:pic>
      <xdr:nvPicPr>
        <xdr:cNvPr id="10548" name="Рисунок 220" descr="L3.1.png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9080" y="150891240"/>
          <a:ext cx="22098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754380</xdr:colOff>
      <xdr:row>777</xdr:row>
      <xdr:rowOff>76200</xdr:rowOff>
    </xdr:from>
    <xdr:to>
      <xdr:col>6</xdr:col>
      <xdr:colOff>975360</xdr:colOff>
      <xdr:row>783</xdr:row>
      <xdr:rowOff>144779</xdr:rowOff>
    </xdr:to>
    <xdr:pic>
      <xdr:nvPicPr>
        <xdr:cNvPr id="10549" name="Рисунок 221" descr="L3.2.png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50891240"/>
          <a:ext cx="22098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274320</xdr:colOff>
      <xdr:row>777</xdr:row>
      <xdr:rowOff>76200</xdr:rowOff>
    </xdr:from>
    <xdr:to>
      <xdr:col>8</xdr:col>
      <xdr:colOff>510540</xdr:colOff>
      <xdr:row>783</xdr:row>
      <xdr:rowOff>144779</xdr:rowOff>
    </xdr:to>
    <xdr:pic>
      <xdr:nvPicPr>
        <xdr:cNvPr id="10550" name="Рисунок 222" descr="L4.0.png"/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8240" y="150891240"/>
          <a:ext cx="2362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571500</xdr:colOff>
      <xdr:row>777</xdr:row>
      <xdr:rowOff>76200</xdr:rowOff>
    </xdr:from>
    <xdr:to>
      <xdr:col>8</xdr:col>
      <xdr:colOff>815340</xdr:colOff>
      <xdr:row>783</xdr:row>
      <xdr:rowOff>144779</xdr:rowOff>
    </xdr:to>
    <xdr:pic>
      <xdr:nvPicPr>
        <xdr:cNvPr id="10551" name="Рисунок 223" descr="L4.1.png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5420" y="150891240"/>
          <a:ext cx="2438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281940</xdr:colOff>
      <xdr:row>777</xdr:row>
      <xdr:rowOff>76200</xdr:rowOff>
    </xdr:from>
    <xdr:to>
      <xdr:col>10</xdr:col>
      <xdr:colOff>510540</xdr:colOff>
      <xdr:row>783</xdr:row>
      <xdr:rowOff>144779</xdr:rowOff>
    </xdr:to>
    <xdr:pic>
      <xdr:nvPicPr>
        <xdr:cNvPr id="10552" name="Рисунок 224" descr="L5.0.png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2660" y="150891240"/>
          <a:ext cx="2286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579120</xdr:colOff>
      <xdr:row>777</xdr:row>
      <xdr:rowOff>76200</xdr:rowOff>
    </xdr:from>
    <xdr:to>
      <xdr:col>10</xdr:col>
      <xdr:colOff>822960</xdr:colOff>
      <xdr:row>783</xdr:row>
      <xdr:rowOff>144779</xdr:rowOff>
    </xdr:to>
    <xdr:pic>
      <xdr:nvPicPr>
        <xdr:cNvPr id="10553" name="Рисунок 225" descr="L5.1.png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40" y="150891240"/>
          <a:ext cx="2438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228600</xdr:colOff>
      <xdr:row>777</xdr:row>
      <xdr:rowOff>76200</xdr:rowOff>
    </xdr:from>
    <xdr:to>
      <xdr:col>12</xdr:col>
      <xdr:colOff>449580</xdr:colOff>
      <xdr:row>783</xdr:row>
      <xdr:rowOff>144779</xdr:rowOff>
    </xdr:to>
    <xdr:pic>
      <xdr:nvPicPr>
        <xdr:cNvPr id="10554" name="Рисунок 226" descr="L6.0.png"/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6120" y="150891240"/>
          <a:ext cx="22098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525780</xdr:colOff>
      <xdr:row>777</xdr:row>
      <xdr:rowOff>76200</xdr:rowOff>
    </xdr:from>
    <xdr:to>
      <xdr:col>12</xdr:col>
      <xdr:colOff>754380</xdr:colOff>
      <xdr:row>783</xdr:row>
      <xdr:rowOff>144779</xdr:rowOff>
    </xdr:to>
    <xdr:pic>
      <xdr:nvPicPr>
        <xdr:cNvPr id="10555" name="Рисунок 227" descr="L6.1.png"/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50891240"/>
          <a:ext cx="2286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594360</xdr:colOff>
      <xdr:row>777</xdr:row>
      <xdr:rowOff>76200</xdr:rowOff>
    </xdr:from>
    <xdr:to>
      <xdr:col>4</xdr:col>
      <xdr:colOff>853440</xdr:colOff>
      <xdr:row>783</xdr:row>
      <xdr:rowOff>144779</xdr:rowOff>
    </xdr:to>
    <xdr:pic>
      <xdr:nvPicPr>
        <xdr:cNvPr id="10556" name="Рисунок 228" descr="L1.1.png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4680" y="150891240"/>
          <a:ext cx="25908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60960</xdr:colOff>
      <xdr:row>467</xdr:row>
      <xdr:rowOff>45720</xdr:rowOff>
    </xdr:from>
    <xdr:to>
      <xdr:col>4</xdr:col>
      <xdr:colOff>541020</xdr:colOff>
      <xdr:row>473</xdr:row>
      <xdr:rowOff>121919</xdr:rowOff>
    </xdr:to>
    <xdr:pic>
      <xdr:nvPicPr>
        <xdr:cNvPr id="10557" name="Рисунок 186" descr="Lisa 2.0.png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1280" y="89870280"/>
          <a:ext cx="48006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130</xdr:row>
      <xdr:rowOff>68580</xdr:rowOff>
    </xdr:from>
    <xdr:to>
      <xdr:col>4</xdr:col>
      <xdr:colOff>784860</xdr:colOff>
      <xdr:row>136</xdr:row>
      <xdr:rowOff>137160</xdr:rowOff>
    </xdr:to>
    <xdr:pic>
      <xdr:nvPicPr>
        <xdr:cNvPr id="10558" name="Рисунок 221" descr="B_5.jpg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4574500"/>
          <a:ext cx="4800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278</xdr:row>
      <xdr:rowOff>45720</xdr:rowOff>
    </xdr:from>
    <xdr:to>
      <xdr:col>4</xdr:col>
      <xdr:colOff>518160</xdr:colOff>
      <xdr:row>284</xdr:row>
      <xdr:rowOff>121921</xdr:rowOff>
    </xdr:to>
    <xdr:pic>
      <xdr:nvPicPr>
        <xdr:cNvPr id="10559" name="Рисунок 3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6520" y="52585620"/>
          <a:ext cx="44196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579120</xdr:colOff>
      <xdr:row>278</xdr:row>
      <xdr:rowOff>45720</xdr:rowOff>
    </xdr:from>
    <xdr:to>
      <xdr:col>4</xdr:col>
      <xdr:colOff>1005840</xdr:colOff>
      <xdr:row>284</xdr:row>
      <xdr:rowOff>121921</xdr:rowOff>
    </xdr:to>
    <xdr:pic>
      <xdr:nvPicPr>
        <xdr:cNvPr id="10560" name="Рисунок 5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440" y="52585620"/>
          <a:ext cx="42672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571500</xdr:colOff>
      <xdr:row>278</xdr:row>
      <xdr:rowOff>60960</xdr:rowOff>
    </xdr:from>
    <xdr:to>
      <xdr:col>6</xdr:col>
      <xdr:colOff>1005840</xdr:colOff>
      <xdr:row>284</xdr:row>
      <xdr:rowOff>129541</xdr:rowOff>
    </xdr:to>
    <xdr:pic>
      <xdr:nvPicPr>
        <xdr:cNvPr id="10561" name="Рисунок 7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8620" y="52600860"/>
          <a:ext cx="4343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68580</xdr:colOff>
      <xdr:row>278</xdr:row>
      <xdr:rowOff>60960</xdr:rowOff>
    </xdr:from>
    <xdr:to>
      <xdr:col>6</xdr:col>
      <xdr:colOff>495300</xdr:colOff>
      <xdr:row>284</xdr:row>
      <xdr:rowOff>129541</xdr:rowOff>
    </xdr:to>
    <xdr:pic>
      <xdr:nvPicPr>
        <xdr:cNvPr id="10562" name="Рисунок 9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52600860"/>
          <a:ext cx="4267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320040</xdr:colOff>
      <xdr:row>278</xdr:row>
      <xdr:rowOff>60960</xdr:rowOff>
    </xdr:from>
    <xdr:to>
      <xdr:col>8</xdr:col>
      <xdr:colOff>762000</xdr:colOff>
      <xdr:row>284</xdr:row>
      <xdr:rowOff>129541</xdr:rowOff>
    </xdr:to>
    <xdr:pic>
      <xdr:nvPicPr>
        <xdr:cNvPr id="10563" name="Рисунок 11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3960" y="52600860"/>
          <a:ext cx="4419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68580</xdr:colOff>
      <xdr:row>278</xdr:row>
      <xdr:rowOff>60960</xdr:rowOff>
    </xdr:from>
    <xdr:to>
      <xdr:col>10</xdr:col>
      <xdr:colOff>510540</xdr:colOff>
      <xdr:row>284</xdr:row>
      <xdr:rowOff>129541</xdr:rowOff>
    </xdr:to>
    <xdr:pic>
      <xdr:nvPicPr>
        <xdr:cNvPr id="10564" name="Рисунок 13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52600860"/>
          <a:ext cx="4419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571500</xdr:colOff>
      <xdr:row>278</xdr:row>
      <xdr:rowOff>60960</xdr:rowOff>
    </xdr:from>
    <xdr:to>
      <xdr:col>10</xdr:col>
      <xdr:colOff>998220</xdr:colOff>
      <xdr:row>284</xdr:row>
      <xdr:rowOff>129541</xdr:rowOff>
    </xdr:to>
    <xdr:pic>
      <xdr:nvPicPr>
        <xdr:cNvPr id="10565" name="Рисунок 15"/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52600860"/>
          <a:ext cx="4267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548640</xdr:colOff>
      <xdr:row>190</xdr:row>
      <xdr:rowOff>45720</xdr:rowOff>
    </xdr:from>
    <xdr:to>
      <xdr:col>6</xdr:col>
      <xdr:colOff>1036320</xdr:colOff>
      <xdr:row>196</xdr:row>
      <xdr:rowOff>121919</xdr:rowOff>
    </xdr:to>
    <xdr:pic>
      <xdr:nvPicPr>
        <xdr:cNvPr id="10566" name="Рисунок 210" descr="5 (2).png"/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5760" y="35974020"/>
          <a:ext cx="48768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60960</xdr:colOff>
      <xdr:row>190</xdr:row>
      <xdr:rowOff>45720</xdr:rowOff>
    </xdr:from>
    <xdr:to>
      <xdr:col>6</xdr:col>
      <xdr:colOff>525780</xdr:colOff>
      <xdr:row>196</xdr:row>
      <xdr:rowOff>121919</xdr:rowOff>
    </xdr:to>
    <xdr:pic>
      <xdr:nvPicPr>
        <xdr:cNvPr id="10567" name="Рисунок 211" descr="6 (3).png"/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8080" y="35974020"/>
          <a:ext cx="46482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68580</xdr:colOff>
      <xdr:row>190</xdr:row>
      <xdr:rowOff>68580</xdr:rowOff>
    </xdr:from>
    <xdr:to>
      <xdr:col>10</xdr:col>
      <xdr:colOff>571500</xdr:colOff>
      <xdr:row>196</xdr:row>
      <xdr:rowOff>137159</xdr:rowOff>
    </xdr:to>
    <xdr:pic>
      <xdr:nvPicPr>
        <xdr:cNvPr id="10568" name="Рисунок 212" descr="7 (3).png"/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35996880"/>
          <a:ext cx="5029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541020</xdr:colOff>
      <xdr:row>190</xdr:row>
      <xdr:rowOff>76200</xdr:rowOff>
    </xdr:from>
    <xdr:to>
      <xdr:col>10</xdr:col>
      <xdr:colOff>1021080</xdr:colOff>
      <xdr:row>196</xdr:row>
      <xdr:rowOff>144779</xdr:rowOff>
    </xdr:to>
    <xdr:pic>
      <xdr:nvPicPr>
        <xdr:cNvPr id="10569" name="Рисунок 213" descr="8 (1).png"/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1740" y="36004500"/>
          <a:ext cx="4800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</xdr:colOff>
      <xdr:row>220</xdr:row>
      <xdr:rowOff>38100</xdr:rowOff>
    </xdr:from>
    <xdr:to>
      <xdr:col>4</xdr:col>
      <xdr:colOff>541020</xdr:colOff>
      <xdr:row>226</xdr:row>
      <xdr:rowOff>106679</xdr:rowOff>
    </xdr:to>
    <xdr:pic>
      <xdr:nvPicPr>
        <xdr:cNvPr id="10570" name="Рисунок 220" descr="1.0.png"/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040" y="41711880"/>
          <a:ext cx="4953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571500</xdr:colOff>
      <xdr:row>220</xdr:row>
      <xdr:rowOff>45720</xdr:rowOff>
    </xdr:from>
    <xdr:to>
      <xdr:col>4</xdr:col>
      <xdr:colOff>1036320</xdr:colOff>
      <xdr:row>226</xdr:row>
      <xdr:rowOff>121919</xdr:rowOff>
    </xdr:to>
    <xdr:pic>
      <xdr:nvPicPr>
        <xdr:cNvPr id="10571" name="Рисунок 221" descr="1.1.png"/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820" y="41719500"/>
          <a:ext cx="46482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22860</xdr:colOff>
      <xdr:row>220</xdr:row>
      <xdr:rowOff>45720</xdr:rowOff>
    </xdr:from>
    <xdr:to>
      <xdr:col>6</xdr:col>
      <xdr:colOff>525780</xdr:colOff>
      <xdr:row>226</xdr:row>
      <xdr:rowOff>121919</xdr:rowOff>
    </xdr:to>
    <xdr:pic>
      <xdr:nvPicPr>
        <xdr:cNvPr id="10572" name="Рисунок 223" descr="2.0.png"/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980" y="41719500"/>
          <a:ext cx="50292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525780</xdr:colOff>
      <xdr:row>220</xdr:row>
      <xdr:rowOff>45720</xdr:rowOff>
    </xdr:from>
    <xdr:to>
      <xdr:col>6</xdr:col>
      <xdr:colOff>1043940</xdr:colOff>
      <xdr:row>226</xdr:row>
      <xdr:rowOff>121919</xdr:rowOff>
    </xdr:to>
    <xdr:pic>
      <xdr:nvPicPr>
        <xdr:cNvPr id="10573" name="Рисунок 224" descr="2.1.png"/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41719500"/>
          <a:ext cx="51816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266700</xdr:colOff>
      <xdr:row>220</xdr:row>
      <xdr:rowOff>60960</xdr:rowOff>
    </xdr:from>
    <xdr:to>
      <xdr:col>8</xdr:col>
      <xdr:colOff>769620</xdr:colOff>
      <xdr:row>226</xdr:row>
      <xdr:rowOff>129539</xdr:rowOff>
    </xdr:to>
    <xdr:pic>
      <xdr:nvPicPr>
        <xdr:cNvPr id="10574" name="Рисунок 225" descr="2a.1.png"/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0620" y="41734740"/>
          <a:ext cx="5029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541020</xdr:colOff>
      <xdr:row>220</xdr:row>
      <xdr:rowOff>60960</xdr:rowOff>
    </xdr:from>
    <xdr:to>
      <xdr:col>10</xdr:col>
      <xdr:colOff>1028700</xdr:colOff>
      <xdr:row>226</xdr:row>
      <xdr:rowOff>129539</xdr:rowOff>
    </xdr:to>
    <xdr:pic>
      <xdr:nvPicPr>
        <xdr:cNvPr id="10575" name="Рисунок 226" descr="3.0.png"/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1740" y="41734740"/>
          <a:ext cx="48768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</xdr:colOff>
      <xdr:row>220</xdr:row>
      <xdr:rowOff>60960</xdr:rowOff>
    </xdr:from>
    <xdr:to>
      <xdr:col>10</xdr:col>
      <xdr:colOff>518160</xdr:colOff>
      <xdr:row>226</xdr:row>
      <xdr:rowOff>129539</xdr:rowOff>
    </xdr:to>
    <xdr:pic>
      <xdr:nvPicPr>
        <xdr:cNvPr id="10576" name="Рисунок 227" descr="3.1.png"/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580" y="41734740"/>
          <a:ext cx="4953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312420</xdr:colOff>
      <xdr:row>12</xdr:row>
      <xdr:rowOff>60960</xdr:rowOff>
    </xdr:from>
    <xdr:to>
      <xdr:col>4</xdr:col>
      <xdr:colOff>762000</xdr:colOff>
      <xdr:row>18</xdr:row>
      <xdr:rowOff>129540</xdr:rowOff>
    </xdr:to>
    <xdr:pic>
      <xdr:nvPicPr>
        <xdr:cNvPr id="10577" name="Picture 589" descr="Standart_1A"/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740" y="2125980"/>
          <a:ext cx="44958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297180</xdr:colOff>
      <xdr:row>12</xdr:row>
      <xdr:rowOff>60960</xdr:rowOff>
    </xdr:from>
    <xdr:to>
      <xdr:col>6</xdr:col>
      <xdr:colOff>784860</xdr:colOff>
      <xdr:row>18</xdr:row>
      <xdr:rowOff>129540</xdr:rowOff>
    </xdr:to>
    <xdr:pic>
      <xdr:nvPicPr>
        <xdr:cNvPr id="10578" name="Picture 590" descr="Standart_1B"/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125980"/>
          <a:ext cx="48768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274320</xdr:colOff>
      <xdr:row>12</xdr:row>
      <xdr:rowOff>60960</xdr:rowOff>
    </xdr:from>
    <xdr:to>
      <xdr:col>8</xdr:col>
      <xdr:colOff>762000</xdr:colOff>
      <xdr:row>18</xdr:row>
      <xdr:rowOff>129540</xdr:rowOff>
    </xdr:to>
    <xdr:pic>
      <xdr:nvPicPr>
        <xdr:cNvPr id="10579" name="Picture 591" descr="Standart_2A"/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8240" y="2125980"/>
          <a:ext cx="48768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281940</xdr:colOff>
      <xdr:row>12</xdr:row>
      <xdr:rowOff>60960</xdr:rowOff>
    </xdr:from>
    <xdr:to>
      <xdr:col>10</xdr:col>
      <xdr:colOff>784860</xdr:colOff>
      <xdr:row>18</xdr:row>
      <xdr:rowOff>129540</xdr:rowOff>
    </xdr:to>
    <xdr:pic>
      <xdr:nvPicPr>
        <xdr:cNvPr id="10580" name="Picture 592" descr="Standart_2B"/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2660" y="2125980"/>
          <a:ext cx="5029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91440</xdr:colOff>
      <xdr:row>12</xdr:row>
      <xdr:rowOff>60960</xdr:rowOff>
    </xdr:from>
    <xdr:to>
      <xdr:col>12</xdr:col>
      <xdr:colOff>548640</xdr:colOff>
      <xdr:row>18</xdr:row>
      <xdr:rowOff>129540</xdr:rowOff>
    </xdr:to>
    <xdr:pic>
      <xdr:nvPicPr>
        <xdr:cNvPr id="10581" name="Picture 593" descr="Standart_3"/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8960" y="2125980"/>
          <a:ext cx="4572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579120</xdr:colOff>
      <xdr:row>12</xdr:row>
      <xdr:rowOff>60960</xdr:rowOff>
    </xdr:from>
    <xdr:to>
      <xdr:col>12</xdr:col>
      <xdr:colOff>1028700</xdr:colOff>
      <xdr:row>18</xdr:row>
      <xdr:rowOff>129540</xdr:rowOff>
    </xdr:to>
    <xdr:pic>
      <xdr:nvPicPr>
        <xdr:cNvPr id="10582" name="Picture 594" descr="Standart_3"/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6640" y="2125980"/>
          <a:ext cx="44958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76200</xdr:colOff>
      <xdr:row>12</xdr:row>
      <xdr:rowOff>60960</xdr:rowOff>
    </xdr:from>
    <xdr:to>
      <xdr:col>14</xdr:col>
      <xdr:colOff>518160</xdr:colOff>
      <xdr:row>18</xdr:row>
      <xdr:rowOff>129540</xdr:rowOff>
    </xdr:to>
    <xdr:pic>
      <xdr:nvPicPr>
        <xdr:cNvPr id="10583" name="Picture 595" descr="Standart_4"/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0520" y="2125980"/>
          <a:ext cx="4419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548640</xdr:colOff>
      <xdr:row>12</xdr:row>
      <xdr:rowOff>60960</xdr:rowOff>
    </xdr:from>
    <xdr:to>
      <xdr:col>14</xdr:col>
      <xdr:colOff>1005840</xdr:colOff>
      <xdr:row>18</xdr:row>
      <xdr:rowOff>129540</xdr:rowOff>
    </xdr:to>
    <xdr:pic>
      <xdr:nvPicPr>
        <xdr:cNvPr id="10584" name="Picture 596" descr="Standart_4"/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2960" y="2125980"/>
          <a:ext cx="4572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388620</xdr:colOff>
      <xdr:row>161</xdr:row>
      <xdr:rowOff>68580</xdr:rowOff>
    </xdr:from>
    <xdr:to>
      <xdr:col>4</xdr:col>
      <xdr:colOff>1059180</xdr:colOff>
      <xdr:row>165</xdr:row>
      <xdr:rowOff>99060</xdr:rowOff>
    </xdr:to>
    <xdr:pic>
      <xdr:nvPicPr>
        <xdr:cNvPr id="10585" name="Рисунок 274"/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8940" y="30632400"/>
          <a:ext cx="67056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381000</xdr:colOff>
      <xdr:row>161</xdr:row>
      <xdr:rowOff>60960</xdr:rowOff>
    </xdr:from>
    <xdr:to>
      <xdr:col>6</xdr:col>
      <xdr:colOff>1043940</xdr:colOff>
      <xdr:row>165</xdr:row>
      <xdr:rowOff>99060</xdr:rowOff>
    </xdr:to>
    <xdr:pic>
      <xdr:nvPicPr>
        <xdr:cNvPr id="10586" name="Рисунок 275"/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1894"/>
        <a:stretch>
          <a:fillRect/>
        </a:stretch>
      </xdr:blipFill>
      <xdr:spPr bwMode="auto">
        <a:xfrm>
          <a:off x="4008120" y="30624780"/>
          <a:ext cx="66294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106680</xdr:colOff>
      <xdr:row>161</xdr:row>
      <xdr:rowOff>60960</xdr:rowOff>
    </xdr:from>
    <xdr:to>
      <xdr:col>4</xdr:col>
      <xdr:colOff>579120</xdr:colOff>
      <xdr:row>167</xdr:row>
      <xdr:rowOff>99060</xdr:rowOff>
    </xdr:to>
    <xdr:pic>
      <xdr:nvPicPr>
        <xdr:cNvPr id="10587" name="Picture 70" descr="Idea_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30624780"/>
          <a:ext cx="47244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60960</xdr:colOff>
      <xdr:row>161</xdr:row>
      <xdr:rowOff>60960</xdr:rowOff>
    </xdr:from>
    <xdr:to>
      <xdr:col>6</xdr:col>
      <xdr:colOff>525780</xdr:colOff>
      <xdr:row>167</xdr:row>
      <xdr:rowOff>99060</xdr:rowOff>
    </xdr:to>
    <xdr:pic>
      <xdr:nvPicPr>
        <xdr:cNvPr id="10588" name="Picture 70" descr="Idea_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8080" y="30624780"/>
          <a:ext cx="4648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</xdr:colOff>
      <xdr:row>249</xdr:row>
      <xdr:rowOff>45720</xdr:rowOff>
    </xdr:from>
    <xdr:to>
      <xdr:col>4</xdr:col>
      <xdr:colOff>541020</xdr:colOff>
      <xdr:row>255</xdr:row>
      <xdr:rowOff>121920</xdr:rowOff>
    </xdr:to>
    <xdr:pic>
      <xdr:nvPicPr>
        <xdr:cNvPr id="10589" name="Рисунок 240"/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47152560"/>
          <a:ext cx="47244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579120</xdr:colOff>
      <xdr:row>249</xdr:row>
      <xdr:rowOff>45720</xdr:rowOff>
    </xdr:from>
    <xdr:to>
      <xdr:col>4</xdr:col>
      <xdr:colOff>1043940</xdr:colOff>
      <xdr:row>255</xdr:row>
      <xdr:rowOff>121920</xdr:rowOff>
    </xdr:to>
    <xdr:pic>
      <xdr:nvPicPr>
        <xdr:cNvPr id="10590" name="Рисунок 241"/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440" y="47152560"/>
          <a:ext cx="46482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304800</xdr:colOff>
      <xdr:row>249</xdr:row>
      <xdr:rowOff>45720</xdr:rowOff>
    </xdr:from>
    <xdr:to>
      <xdr:col>6</xdr:col>
      <xdr:colOff>769620</xdr:colOff>
      <xdr:row>255</xdr:row>
      <xdr:rowOff>121920</xdr:rowOff>
    </xdr:to>
    <xdr:pic>
      <xdr:nvPicPr>
        <xdr:cNvPr id="10591" name="Рисунок 242"/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1920" y="47152560"/>
          <a:ext cx="46482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38100</xdr:colOff>
      <xdr:row>249</xdr:row>
      <xdr:rowOff>45720</xdr:rowOff>
    </xdr:from>
    <xdr:to>
      <xdr:col>8</xdr:col>
      <xdr:colOff>510540</xdr:colOff>
      <xdr:row>255</xdr:row>
      <xdr:rowOff>121920</xdr:rowOff>
    </xdr:to>
    <xdr:pic>
      <xdr:nvPicPr>
        <xdr:cNvPr id="10592" name="Рисунок 243"/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020" y="47152560"/>
          <a:ext cx="47244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548640</xdr:colOff>
      <xdr:row>249</xdr:row>
      <xdr:rowOff>45720</xdr:rowOff>
    </xdr:from>
    <xdr:to>
      <xdr:col>8</xdr:col>
      <xdr:colOff>1028700</xdr:colOff>
      <xdr:row>255</xdr:row>
      <xdr:rowOff>121920</xdr:rowOff>
    </xdr:to>
    <xdr:pic>
      <xdr:nvPicPr>
        <xdr:cNvPr id="10593" name="Рисунок 244"/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47152560"/>
          <a:ext cx="48006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304800</xdr:colOff>
      <xdr:row>249</xdr:row>
      <xdr:rowOff>45720</xdr:rowOff>
    </xdr:from>
    <xdr:to>
      <xdr:col>10</xdr:col>
      <xdr:colOff>769620</xdr:colOff>
      <xdr:row>255</xdr:row>
      <xdr:rowOff>121920</xdr:rowOff>
    </xdr:to>
    <xdr:pic>
      <xdr:nvPicPr>
        <xdr:cNvPr id="10594" name="Рисунок 245"/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5520" y="47152560"/>
          <a:ext cx="46482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60960</xdr:colOff>
      <xdr:row>249</xdr:row>
      <xdr:rowOff>45720</xdr:rowOff>
    </xdr:from>
    <xdr:to>
      <xdr:col>12</xdr:col>
      <xdr:colOff>525780</xdr:colOff>
      <xdr:row>255</xdr:row>
      <xdr:rowOff>121920</xdr:rowOff>
    </xdr:to>
    <xdr:pic>
      <xdr:nvPicPr>
        <xdr:cNvPr id="10595" name="Рисунок 246"/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8480" y="47152560"/>
          <a:ext cx="46482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571500</xdr:colOff>
      <xdr:row>249</xdr:row>
      <xdr:rowOff>45720</xdr:rowOff>
    </xdr:from>
    <xdr:to>
      <xdr:col>12</xdr:col>
      <xdr:colOff>1036320</xdr:colOff>
      <xdr:row>255</xdr:row>
      <xdr:rowOff>121920</xdr:rowOff>
    </xdr:to>
    <xdr:pic>
      <xdr:nvPicPr>
        <xdr:cNvPr id="10596" name="Рисунок 247"/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47152560"/>
          <a:ext cx="46482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91440</xdr:colOff>
      <xdr:row>190</xdr:row>
      <xdr:rowOff>68580</xdr:rowOff>
    </xdr:from>
    <xdr:to>
      <xdr:col>4</xdr:col>
      <xdr:colOff>556260</xdr:colOff>
      <xdr:row>196</xdr:row>
      <xdr:rowOff>137159</xdr:rowOff>
    </xdr:to>
    <xdr:pic>
      <xdr:nvPicPr>
        <xdr:cNvPr id="10597" name="Рисунок 256"/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76" r="23303"/>
        <a:stretch>
          <a:fillRect/>
        </a:stretch>
      </xdr:blipFill>
      <xdr:spPr bwMode="auto">
        <a:xfrm>
          <a:off x="2651760" y="3599688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518160</xdr:colOff>
      <xdr:row>190</xdr:row>
      <xdr:rowOff>68580</xdr:rowOff>
    </xdr:from>
    <xdr:to>
      <xdr:col>5</xdr:col>
      <xdr:colOff>0</xdr:colOff>
      <xdr:row>196</xdr:row>
      <xdr:rowOff>137159</xdr:rowOff>
    </xdr:to>
    <xdr:pic>
      <xdr:nvPicPr>
        <xdr:cNvPr id="10598" name="Рисунок 257"/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64" r="22221"/>
        <a:stretch>
          <a:fillRect/>
        </a:stretch>
      </xdr:blipFill>
      <xdr:spPr bwMode="auto">
        <a:xfrm>
          <a:off x="3078480" y="35996880"/>
          <a:ext cx="5486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190</xdr:row>
      <xdr:rowOff>76200</xdr:rowOff>
    </xdr:from>
    <xdr:to>
      <xdr:col>8</xdr:col>
      <xdr:colOff>571500</xdr:colOff>
      <xdr:row>196</xdr:row>
      <xdr:rowOff>144779</xdr:rowOff>
    </xdr:to>
    <xdr:pic>
      <xdr:nvPicPr>
        <xdr:cNvPr id="10599" name="Рисунок 258"/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22" r="16667"/>
        <a:stretch>
          <a:fillRect/>
        </a:stretch>
      </xdr:blipFill>
      <xdr:spPr bwMode="auto">
        <a:xfrm>
          <a:off x="4693920" y="36004500"/>
          <a:ext cx="5715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541020</xdr:colOff>
      <xdr:row>190</xdr:row>
      <xdr:rowOff>76200</xdr:rowOff>
    </xdr:from>
    <xdr:to>
      <xdr:col>8</xdr:col>
      <xdr:colOff>998220</xdr:colOff>
      <xdr:row>196</xdr:row>
      <xdr:rowOff>144779</xdr:rowOff>
    </xdr:to>
    <xdr:pic>
      <xdr:nvPicPr>
        <xdr:cNvPr id="10600" name="Рисунок 259"/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76" r="23959"/>
        <a:stretch>
          <a:fillRect/>
        </a:stretch>
      </xdr:blipFill>
      <xdr:spPr bwMode="auto">
        <a:xfrm>
          <a:off x="5234940" y="36004500"/>
          <a:ext cx="4572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60960</xdr:colOff>
      <xdr:row>339</xdr:row>
      <xdr:rowOff>68580</xdr:rowOff>
    </xdr:from>
    <xdr:to>
      <xdr:col>4</xdr:col>
      <xdr:colOff>525780</xdr:colOff>
      <xdr:row>345</xdr:row>
      <xdr:rowOff>137159</xdr:rowOff>
    </xdr:to>
    <xdr:pic>
      <xdr:nvPicPr>
        <xdr:cNvPr id="10601" name="Рисунок 283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1280" y="6441186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579120</xdr:colOff>
      <xdr:row>339</xdr:row>
      <xdr:rowOff>68580</xdr:rowOff>
    </xdr:from>
    <xdr:to>
      <xdr:col>4</xdr:col>
      <xdr:colOff>1043940</xdr:colOff>
      <xdr:row>345</xdr:row>
      <xdr:rowOff>137159</xdr:rowOff>
    </xdr:to>
    <xdr:pic>
      <xdr:nvPicPr>
        <xdr:cNvPr id="10602" name="Рисунок 284"/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440" y="6441186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</xdr:colOff>
      <xdr:row>339</xdr:row>
      <xdr:rowOff>68580</xdr:rowOff>
    </xdr:from>
    <xdr:to>
      <xdr:col>6</xdr:col>
      <xdr:colOff>518160</xdr:colOff>
      <xdr:row>345</xdr:row>
      <xdr:rowOff>137159</xdr:rowOff>
    </xdr:to>
    <xdr:pic>
      <xdr:nvPicPr>
        <xdr:cNvPr id="10603" name="Рисунок 285"/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2840" y="64411860"/>
          <a:ext cx="4724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571500</xdr:colOff>
      <xdr:row>339</xdr:row>
      <xdr:rowOff>68580</xdr:rowOff>
    </xdr:from>
    <xdr:to>
      <xdr:col>6</xdr:col>
      <xdr:colOff>1036320</xdr:colOff>
      <xdr:row>345</xdr:row>
      <xdr:rowOff>137159</xdr:rowOff>
    </xdr:to>
    <xdr:pic>
      <xdr:nvPicPr>
        <xdr:cNvPr id="10604" name="Рисунок 286"/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8620" y="6441186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45720</xdr:colOff>
      <xdr:row>339</xdr:row>
      <xdr:rowOff>68580</xdr:rowOff>
    </xdr:from>
    <xdr:to>
      <xdr:col>8</xdr:col>
      <xdr:colOff>518160</xdr:colOff>
      <xdr:row>345</xdr:row>
      <xdr:rowOff>137159</xdr:rowOff>
    </xdr:to>
    <xdr:pic>
      <xdr:nvPicPr>
        <xdr:cNvPr id="10605" name="Рисунок 287"/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9640" y="64411860"/>
          <a:ext cx="4724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571500</xdr:colOff>
      <xdr:row>339</xdr:row>
      <xdr:rowOff>68580</xdr:rowOff>
    </xdr:from>
    <xdr:to>
      <xdr:col>8</xdr:col>
      <xdr:colOff>1036320</xdr:colOff>
      <xdr:row>345</xdr:row>
      <xdr:rowOff>137159</xdr:rowOff>
    </xdr:to>
    <xdr:pic>
      <xdr:nvPicPr>
        <xdr:cNvPr id="10606" name="Рисунок 288"/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5420" y="6441186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60960</xdr:colOff>
      <xdr:row>371</xdr:row>
      <xdr:rowOff>60960</xdr:rowOff>
    </xdr:from>
    <xdr:to>
      <xdr:col>4</xdr:col>
      <xdr:colOff>525780</xdr:colOff>
      <xdr:row>377</xdr:row>
      <xdr:rowOff>129539</xdr:rowOff>
    </xdr:to>
    <xdr:pic>
      <xdr:nvPicPr>
        <xdr:cNvPr id="10607" name="Рисунок 289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1280" y="7077456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571500</xdr:colOff>
      <xdr:row>371</xdr:row>
      <xdr:rowOff>60960</xdr:rowOff>
    </xdr:from>
    <xdr:to>
      <xdr:col>4</xdr:col>
      <xdr:colOff>1036320</xdr:colOff>
      <xdr:row>377</xdr:row>
      <xdr:rowOff>129539</xdr:rowOff>
    </xdr:to>
    <xdr:pic>
      <xdr:nvPicPr>
        <xdr:cNvPr id="10608" name="Рисунок 290"/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820" y="7077456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371</xdr:row>
      <xdr:rowOff>60960</xdr:rowOff>
    </xdr:from>
    <xdr:to>
      <xdr:col>6</xdr:col>
      <xdr:colOff>510540</xdr:colOff>
      <xdr:row>377</xdr:row>
      <xdr:rowOff>129539</xdr:rowOff>
    </xdr:to>
    <xdr:pic>
      <xdr:nvPicPr>
        <xdr:cNvPr id="10609" name="Рисунок 291"/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220" y="70774560"/>
          <a:ext cx="4724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579120</xdr:colOff>
      <xdr:row>371</xdr:row>
      <xdr:rowOff>60960</xdr:rowOff>
    </xdr:from>
    <xdr:to>
      <xdr:col>6</xdr:col>
      <xdr:colOff>1043940</xdr:colOff>
      <xdr:row>377</xdr:row>
      <xdr:rowOff>129539</xdr:rowOff>
    </xdr:to>
    <xdr:pic>
      <xdr:nvPicPr>
        <xdr:cNvPr id="10610" name="Рисунок 292"/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6240" y="7077456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60960</xdr:colOff>
      <xdr:row>403</xdr:row>
      <xdr:rowOff>60960</xdr:rowOff>
    </xdr:from>
    <xdr:to>
      <xdr:col>4</xdr:col>
      <xdr:colOff>525780</xdr:colOff>
      <xdr:row>409</xdr:row>
      <xdr:rowOff>129539</xdr:rowOff>
    </xdr:to>
    <xdr:pic>
      <xdr:nvPicPr>
        <xdr:cNvPr id="10611" name="Рисунок 205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1280" y="7714488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571500</xdr:colOff>
      <xdr:row>403</xdr:row>
      <xdr:rowOff>60960</xdr:rowOff>
    </xdr:from>
    <xdr:to>
      <xdr:col>4</xdr:col>
      <xdr:colOff>1036320</xdr:colOff>
      <xdr:row>409</xdr:row>
      <xdr:rowOff>129539</xdr:rowOff>
    </xdr:to>
    <xdr:pic>
      <xdr:nvPicPr>
        <xdr:cNvPr id="10612" name="Рисунок 206"/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820" y="7714488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</xdr:colOff>
      <xdr:row>403</xdr:row>
      <xdr:rowOff>60960</xdr:rowOff>
    </xdr:from>
    <xdr:to>
      <xdr:col>6</xdr:col>
      <xdr:colOff>518160</xdr:colOff>
      <xdr:row>409</xdr:row>
      <xdr:rowOff>129539</xdr:rowOff>
    </xdr:to>
    <xdr:pic>
      <xdr:nvPicPr>
        <xdr:cNvPr id="10613" name="Рисунок 207"/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2840" y="77144880"/>
          <a:ext cx="4724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579120</xdr:colOff>
      <xdr:row>403</xdr:row>
      <xdr:rowOff>60960</xdr:rowOff>
    </xdr:from>
    <xdr:to>
      <xdr:col>6</xdr:col>
      <xdr:colOff>1043940</xdr:colOff>
      <xdr:row>409</xdr:row>
      <xdr:rowOff>129539</xdr:rowOff>
    </xdr:to>
    <xdr:pic>
      <xdr:nvPicPr>
        <xdr:cNvPr id="10614" name="Рисунок 208"/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6240" y="7714488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60960</xdr:colOff>
      <xdr:row>435</xdr:row>
      <xdr:rowOff>60960</xdr:rowOff>
    </xdr:from>
    <xdr:to>
      <xdr:col>4</xdr:col>
      <xdr:colOff>525780</xdr:colOff>
      <xdr:row>441</xdr:row>
      <xdr:rowOff>129539</xdr:rowOff>
    </xdr:to>
    <xdr:pic>
      <xdr:nvPicPr>
        <xdr:cNvPr id="10615" name="Рисунок 229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1280" y="8351520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548640</xdr:colOff>
      <xdr:row>435</xdr:row>
      <xdr:rowOff>60960</xdr:rowOff>
    </xdr:from>
    <xdr:to>
      <xdr:col>4</xdr:col>
      <xdr:colOff>1028700</xdr:colOff>
      <xdr:row>441</xdr:row>
      <xdr:rowOff>129539</xdr:rowOff>
    </xdr:to>
    <xdr:pic>
      <xdr:nvPicPr>
        <xdr:cNvPr id="10616" name="Рисунок 230"/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8960" y="83515200"/>
          <a:ext cx="4800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</xdr:colOff>
      <xdr:row>435</xdr:row>
      <xdr:rowOff>60960</xdr:rowOff>
    </xdr:from>
    <xdr:to>
      <xdr:col>6</xdr:col>
      <xdr:colOff>518160</xdr:colOff>
      <xdr:row>441</xdr:row>
      <xdr:rowOff>129539</xdr:rowOff>
    </xdr:to>
    <xdr:pic>
      <xdr:nvPicPr>
        <xdr:cNvPr id="10617" name="Рисунок 231"/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2840" y="83515200"/>
          <a:ext cx="4724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571500</xdr:colOff>
      <xdr:row>435</xdr:row>
      <xdr:rowOff>60960</xdr:rowOff>
    </xdr:from>
    <xdr:to>
      <xdr:col>6</xdr:col>
      <xdr:colOff>1036320</xdr:colOff>
      <xdr:row>441</xdr:row>
      <xdr:rowOff>129539</xdr:rowOff>
    </xdr:to>
    <xdr:pic>
      <xdr:nvPicPr>
        <xdr:cNvPr id="10618" name="Рисунок 232"/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8620" y="8351520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60960</xdr:colOff>
      <xdr:row>427</xdr:row>
      <xdr:rowOff>129540</xdr:rowOff>
    </xdr:from>
    <xdr:to>
      <xdr:col>4</xdr:col>
      <xdr:colOff>525780</xdr:colOff>
      <xdr:row>433</xdr:row>
      <xdr:rowOff>1</xdr:rowOff>
    </xdr:to>
    <xdr:sp macro="" textlink="">
      <xdr:nvSpPr>
        <xdr:cNvPr id="10619" name="AutoShape 1"/>
        <xdr:cNvSpPr>
          <a:spLocks noChangeAspect="1" noChangeArrowheads="1"/>
        </xdr:cNvSpPr>
      </xdr:nvSpPr>
      <xdr:spPr bwMode="auto">
        <a:xfrm>
          <a:off x="2621280" y="82075020"/>
          <a:ext cx="4648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60960</xdr:colOff>
      <xdr:row>427</xdr:row>
      <xdr:rowOff>129540</xdr:rowOff>
    </xdr:from>
    <xdr:to>
      <xdr:col>4</xdr:col>
      <xdr:colOff>525780</xdr:colOff>
      <xdr:row>433</xdr:row>
      <xdr:rowOff>1</xdr:rowOff>
    </xdr:to>
    <xdr:sp macro="" textlink="">
      <xdr:nvSpPr>
        <xdr:cNvPr id="10620" name="AutoShape 5"/>
        <xdr:cNvSpPr>
          <a:spLocks noChangeAspect="1" noChangeArrowheads="1"/>
        </xdr:cNvSpPr>
      </xdr:nvSpPr>
      <xdr:spPr bwMode="auto">
        <a:xfrm>
          <a:off x="2621280" y="82075020"/>
          <a:ext cx="4648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304800</xdr:colOff>
      <xdr:row>690</xdr:row>
      <xdr:rowOff>76200</xdr:rowOff>
    </xdr:from>
    <xdr:to>
      <xdr:col>6</xdr:col>
      <xdr:colOff>769620</xdr:colOff>
      <xdr:row>696</xdr:row>
      <xdr:rowOff>144779</xdr:rowOff>
    </xdr:to>
    <xdr:pic>
      <xdr:nvPicPr>
        <xdr:cNvPr id="10621" name="Рисунок 318"/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1920" y="13420344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320040</xdr:colOff>
      <xdr:row>690</xdr:row>
      <xdr:rowOff>76200</xdr:rowOff>
    </xdr:from>
    <xdr:to>
      <xdr:col>8</xdr:col>
      <xdr:colOff>792480</xdr:colOff>
      <xdr:row>696</xdr:row>
      <xdr:rowOff>144779</xdr:rowOff>
    </xdr:to>
    <xdr:pic>
      <xdr:nvPicPr>
        <xdr:cNvPr id="10622" name="Рисунок 319"/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3960" y="134203440"/>
          <a:ext cx="4724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304800</xdr:colOff>
      <xdr:row>690</xdr:row>
      <xdr:rowOff>76200</xdr:rowOff>
    </xdr:from>
    <xdr:to>
      <xdr:col>10</xdr:col>
      <xdr:colOff>769620</xdr:colOff>
      <xdr:row>696</xdr:row>
      <xdr:rowOff>144779</xdr:rowOff>
    </xdr:to>
    <xdr:pic>
      <xdr:nvPicPr>
        <xdr:cNvPr id="10623" name="Рисунок 320"/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5520" y="13420344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281940</xdr:colOff>
      <xdr:row>690</xdr:row>
      <xdr:rowOff>76200</xdr:rowOff>
    </xdr:from>
    <xdr:to>
      <xdr:col>12</xdr:col>
      <xdr:colOff>762000</xdr:colOff>
      <xdr:row>696</xdr:row>
      <xdr:rowOff>144779</xdr:rowOff>
    </xdr:to>
    <xdr:pic>
      <xdr:nvPicPr>
        <xdr:cNvPr id="10624" name="Рисунок 321"/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134203440"/>
          <a:ext cx="4800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312420</xdr:colOff>
      <xdr:row>690</xdr:row>
      <xdr:rowOff>76200</xdr:rowOff>
    </xdr:from>
    <xdr:to>
      <xdr:col>16</xdr:col>
      <xdr:colOff>784860</xdr:colOff>
      <xdr:row>696</xdr:row>
      <xdr:rowOff>144779</xdr:rowOff>
    </xdr:to>
    <xdr:pic>
      <xdr:nvPicPr>
        <xdr:cNvPr id="10625" name="Рисунок 322"/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3540" y="134203440"/>
          <a:ext cx="4724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312420</xdr:colOff>
      <xdr:row>690</xdr:row>
      <xdr:rowOff>76200</xdr:rowOff>
    </xdr:from>
    <xdr:to>
      <xdr:col>4</xdr:col>
      <xdr:colOff>762000</xdr:colOff>
      <xdr:row>696</xdr:row>
      <xdr:rowOff>144779</xdr:rowOff>
    </xdr:to>
    <xdr:pic>
      <xdr:nvPicPr>
        <xdr:cNvPr id="10626" name="Рисунок 1"/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740" y="134203440"/>
          <a:ext cx="44958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304800</xdr:colOff>
      <xdr:row>690</xdr:row>
      <xdr:rowOff>76200</xdr:rowOff>
    </xdr:from>
    <xdr:to>
      <xdr:col>14</xdr:col>
      <xdr:colOff>769620</xdr:colOff>
      <xdr:row>696</xdr:row>
      <xdr:rowOff>144779</xdr:rowOff>
    </xdr:to>
    <xdr:pic>
      <xdr:nvPicPr>
        <xdr:cNvPr id="10627" name="Рисунок 219"/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9120" y="13420344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312420</xdr:colOff>
      <xdr:row>721</xdr:row>
      <xdr:rowOff>76200</xdr:rowOff>
    </xdr:from>
    <xdr:to>
      <xdr:col>4</xdr:col>
      <xdr:colOff>762000</xdr:colOff>
      <xdr:row>727</xdr:row>
      <xdr:rowOff>144781</xdr:rowOff>
    </xdr:to>
    <xdr:pic>
      <xdr:nvPicPr>
        <xdr:cNvPr id="10628" name="Рисунок 4"/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740" y="140261340"/>
          <a:ext cx="44958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304800</xdr:colOff>
      <xdr:row>721</xdr:row>
      <xdr:rowOff>76200</xdr:rowOff>
    </xdr:from>
    <xdr:to>
      <xdr:col>6</xdr:col>
      <xdr:colOff>769620</xdr:colOff>
      <xdr:row>727</xdr:row>
      <xdr:rowOff>144781</xdr:rowOff>
    </xdr:to>
    <xdr:pic>
      <xdr:nvPicPr>
        <xdr:cNvPr id="10629" name="Рисунок 209"/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1920" y="14026134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312420</xdr:colOff>
      <xdr:row>721</xdr:row>
      <xdr:rowOff>76200</xdr:rowOff>
    </xdr:from>
    <xdr:to>
      <xdr:col>8</xdr:col>
      <xdr:colOff>784860</xdr:colOff>
      <xdr:row>727</xdr:row>
      <xdr:rowOff>144781</xdr:rowOff>
    </xdr:to>
    <xdr:pic>
      <xdr:nvPicPr>
        <xdr:cNvPr id="10630" name="Рисунок 238"/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6340" y="140261340"/>
          <a:ext cx="4724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320040</xdr:colOff>
      <xdr:row>721</xdr:row>
      <xdr:rowOff>76200</xdr:rowOff>
    </xdr:from>
    <xdr:to>
      <xdr:col>10</xdr:col>
      <xdr:colOff>792480</xdr:colOff>
      <xdr:row>727</xdr:row>
      <xdr:rowOff>144781</xdr:rowOff>
    </xdr:to>
    <xdr:pic>
      <xdr:nvPicPr>
        <xdr:cNvPr id="10631" name="Рисунок 239"/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0760" y="140261340"/>
          <a:ext cx="4724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281940</xdr:colOff>
      <xdr:row>721</xdr:row>
      <xdr:rowOff>76200</xdr:rowOff>
    </xdr:from>
    <xdr:to>
      <xdr:col>12</xdr:col>
      <xdr:colOff>762000</xdr:colOff>
      <xdr:row>727</xdr:row>
      <xdr:rowOff>144781</xdr:rowOff>
    </xdr:to>
    <xdr:pic>
      <xdr:nvPicPr>
        <xdr:cNvPr id="10632" name="Рисунок 248"/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140261340"/>
          <a:ext cx="4800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320040</xdr:colOff>
      <xdr:row>721</xdr:row>
      <xdr:rowOff>76200</xdr:rowOff>
    </xdr:from>
    <xdr:to>
      <xdr:col>14</xdr:col>
      <xdr:colOff>792480</xdr:colOff>
      <xdr:row>727</xdr:row>
      <xdr:rowOff>144781</xdr:rowOff>
    </xdr:to>
    <xdr:pic>
      <xdr:nvPicPr>
        <xdr:cNvPr id="10633" name="Рисунок 249"/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4360" y="140261340"/>
          <a:ext cx="4724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304800</xdr:colOff>
      <xdr:row>721</xdr:row>
      <xdr:rowOff>76200</xdr:rowOff>
    </xdr:from>
    <xdr:to>
      <xdr:col>16</xdr:col>
      <xdr:colOff>769620</xdr:colOff>
      <xdr:row>727</xdr:row>
      <xdr:rowOff>144781</xdr:rowOff>
    </xdr:to>
    <xdr:pic>
      <xdr:nvPicPr>
        <xdr:cNvPr id="10634" name="Рисунок 250"/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5920" y="14026134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335280</xdr:colOff>
      <xdr:row>751</xdr:row>
      <xdr:rowOff>76200</xdr:rowOff>
    </xdr:from>
    <xdr:to>
      <xdr:col>4</xdr:col>
      <xdr:colOff>754380</xdr:colOff>
      <xdr:row>757</xdr:row>
      <xdr:rowOff>144780</xdr:rowOff>
    </xdr:to>
    <xdr:pic>
      <xdr:nvPicPr>
        <xdr:cNvPr id="10635" name="Рисунок 6"/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46128740"/>
          <a:ext cx="4191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320040</xdr:colOff>
      <xdr:row>751</xdr:row>
      <xdr:rowOff>76200</xdr:rowOff>
    </xdr:from>
    <xdr:to>
      <xdr:col>6</xdr:col>
      <xdr:colOff>754380</xdr:colOff>
      <xdr:row>757</xdr:row>
      <xdr:rowOff>144780</xdr:rowOff>
    </xdr:to>
    <xdr:pic>
      <xdr:nvPicPr>
        <xdr:cNvPr id="10636" name="Рисунок 261"/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7160" y="146128740"/>
          <a:ext cx="4343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342900</xdr:colOff>
      <xdr:row>751</xdr:row>
      <xdr:rowOff>76200</xdr:rowOff>
    </xdr:from>
    <xdr:to>
      <xdr:col>8</xdr:col>
      <xdr:colOff>784860</xdr:colOff>
      <xdr:row>757</xdr:row>
      <xdr:rowOff>144780</xdr:rowOff>
    </xdr:to>
    <xdr:pic>
      <xdr:nvPicPr>
        <xdr:cNvPr id="10637" name="Рисунок 263"/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6820" y="146128740"/>
          <a:ext cx="4419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320040</xdr:colOff>
      <xdr:row>751</xdr:row>
      <xdr:rowOff>76200</xdr:rowOff>
    </xdr:from>
    <xdr:to>
      <xdr:col>10</xdr:col>
      <xdr:colOff>754380</xdr:colOff>
      <xdr:row>757</xdr:row>
      <xdr:rowOff>144780</xdr:rowOff>
    </xdr:to>
    <xdr:pic>
      <xdr:nvPicPr>
        <xdr:cNvPr id="10638" name="Рисунок 264"/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0760" y="146128740"/>
          <a:ext cx="4343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342900</xdr:colOff>
      <xdr:row>751</xdr:row>
      <xdr:rowOff>76200</xdr:rowOff>
    </xdr:from>
    <xdr:to>
      <xdr:col>12</xdr:col>
      <xdr:colOff>784860</xdr:colOff>
      <xdr:row>757</xdr:row>
      <xdr:rowOff>144780</xdr:rowOff>
    </xdr:to>
    <xdr:pic>
      <xdr:nvPicPr>
        <xdr:cNvPr id="10639" name="Рисунок 265"/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0420" y="146128740"/>
          <a:ext cx="4419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1</xdr:row>
      <xdr:rowOff>38100</xdr:rowOff>
    </xdr:from>
    <xdr:to>
      <xdr:col>2</xdr:col>
      <xdr:colOff>1318260</xdr:colOff>
      <xdr:row>6</xdr:row>
      <xdr:rowOff>68580</xdr:rowOff>
    </xdr:to>
    <xdr:pic>
      <xdr:nvPicPr>
        <xdr:cNvPr id="10640" name="Picture 383" descr="123"/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8120"/>
          <a:ext cx="241554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60960</xdr:colOff>
      <xdr:row>563</xdr:row>
      <xdr:rowOff>68580</xdr:rowOff>
    </xdr:from>
    <xdr:to>
      <xdr:col>6</xdr:col>
      <xdr:colOff>525780</xdr:colOff>
      <xdr:row>569</xdr:row>
      <xdr:rowOff>137161</xdr:rowOff>
    </xdr:to>
    <xdr:pic>
      <xdr:nvPicPr>
        <xdr:cNvPr id="10641" name="Рисунок 282"/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8080" y="10902696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579120</xdr:colOff>
      <xdr:row>563</xdr:row>
      <xdr:rowOff>68580</xdr:rowOff>
    </xdr:from>
    <xdr:to>
      <xdr:col>6</xdr:col>
      <xdr:colOff>1043940</xdr:colOff>
      <xdr:row>569</xdr:row>
      <xdr:rowOff>137161</xdr:rowOff>
    </xdr:to>
    <xdr:pic>
      <xdr:nvPicPr>
        <xdr:cNvPr id="10642" name="Рисунок 293"/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6240" y="10902696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45720</xdr:colOff>
      <xdr:row>563</xdr:row>
      <xdr:rowOff>68580</xdr:rowOff>
    </xdr:from>
    <xdr:to>
      <xdr:col>8</xdr:col>
      <xdr:colOff>518160</xdr:colOff>
      <xdr:row>569</xdr:row>
      <xdr:rowOff>137161</xdr:rowOff>
    </xdr:to>
    <xdr:pic>
      <xdr:nvPicPr>
        <xdr:cNvPr id="10643" name="Рисунок 294"/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9640" y="109026960"/>
          <a:ext cx="4724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571500</xdr:colOff>
      <xdr:row>563</xdr:row>
      <xdr:rowOff>68580</xdr:rowOff>
    </xdr:from>
    <xdr:to>
      <xdr:col>8</xdr:col>
      <xdr:colOff>1028700</xdr:colOff>
      <xdr:row>569</xdr:row>
      <xdr:rowOff>137161</xdr:rowOff>
    </xdr:to>
    <xdr:pic>
      <xdr:nvPicPr>
        <xdr:cNvPr id="10644" name="Рисунок 295"/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5420" y="109026960"/>
          <a:ext cx="4572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60960</xdr:colOff>
      <xdr:row>563</xdr:row>
      <xdr:rowOff>68580</xdr:rowOff>
    </xdr:from>
    <xdr:to>
      <xdr:col>10</xdr:col>
      <xdr:colOff>525780</xdr:colOff>
      <xdr:row>569</xdr:row>
      <xdr:rowOff>137161</xdr:rowOff>
    </xdr:to>
    <xdr:pic>
      <xdr:nvPicPr>
        <xdr:cNvPr id="10645" name="Рисунок 296"/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1680" y="109026960"/>
          <a:ext cx="4648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579120</xdr:colOff>
      <xdr:row>563</xdr:row>
      <xdr:rowOff>68580</xdr:rowOff>
    </xdr:from>
    <xdr:to>
      <xdr:col>10</xdr:col>
      <xdr:colOff>1036320</xdr:colOff>
      <xdr:row>569</xdr:row>
      <xdr:rowOff>137161</xdr:rowOff>
    </xdr:to>
    <xdr:pic>
      <xdr:nvPicPr>
        <xdr:cNvPr id="10646" name="Рисунок 297"/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40" y="109026960"/>
          <a:ext cx="4572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68580</xdr:colOff>
      <xdr:row>563</xdr:row>
      <xdr:rowOff>68580</xdr:rowOff>
    </xdr:from>
    <xdr:to>
      <xdr:col>12</xdr:col>
      <xdr:colOff>541020</xdr:colOff>
      <xdr:row>569</xdr:row>
      <xdr:rowOff>137161</xdr:rowOff>
    </xdr:to>
    <xdr:pic>
      <xdr:nvPicPr>
        <xdr:cNvPr id="10647" name="Рисунок 298"/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09026960"/>
          <a:ext cx="47244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571500</xdr:colOff>
      <xdr:row>563</xdr:row>
      <xdr:rowOff>68580</xdr:rowOff>
    </xdr:from>
    <xdr:to>
      <xdr:col>12</xdr:col>
      <xdr:colOff>1028700</xdr:colOff>
      <xdr:row>569</xdr:row>
      <xdr:rowOff>137161</xdr:rowOff>
    </xdr:to>
    <xdr:pic>
      <xdr:nvPicPr>
        <xdr:cNvPr id="10648" name="Рисунок 299"/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109026960"/>
          <a:ext cx="4572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175260</xdr:colOff>
      <xdr:row>14</xdr:row>
      <xdr:rowOff>38100</xdr:rowOff>
    </xdr:from>
    <xdr:to>
      <xdr:col>2</xdr:col>
      <xdr:colOff>624840</xdr:colOff>
      <xdr:row>15</xdr:row>
      <xdr:rowOff>0</xdr:rowOff>
    </xdr:to>
    <xdr:pic>
      <xdr:nvPicPr>
        <xdr:cNvPr id="9410" name="Picture 60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" y="2278380"/>
          <a:ext cx="4495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731520</xdr:colOff>
      <xdr:row>30</xdr:row>
      <xdr:rowOff>45720</xdr:rowOff>
    </xdr:from>
    <xdr:to>
      <xdr:col>2</xdr:col>
      <xdr:colOff>1150620</xdr:colOff>
      <xdr:row>31</xdr:row>
      <xdr:rowOff>0</xdr:rowOff>
    </xdr:to>
    <xdr:pic>
      <xdr:nvPicPr>
        <xdr:cNvPr id="9411" name="Picture 60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4520" y="5920740"/>
          <a:ext cx="41910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716280</xdr:colOff>
      <xdr:row>34</xdr:row>
      <xdr:rowOff>38100</xdr:rowOff>
    </xdr:from>
    <xdr:to>
      <xdr:col>2</xdr:col>
      <xdr:colOff>1165860</xdr:colOff>
      <xdr:row>34</xdr:row>
      <xdr:rowOff>396240</xdr:rowOff>
    </xdr:to>
    <xdr:pic>
      <xdr:nvPicPr>
        <xdr:cNvPr id="9412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280" y="7528560"/>
          <a:ext cx="4495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685800</xdr:colOff>
      <xdr:row>33</xdr:row>
      <xdr:rowOff>45720</xdr:rowOff>
    </xdr:from>
    <xdr:to>
      <xdr:col>2</xdr:col>
      <xdr:colOff>1181100</xdr:colOff>
      <xdr:row>33</xdr:row>
      <xdr:rowOff>419100</xdr:rowOff>
    </xdr:to>
    <xdr:pic>
      <xdr:nvPicPr>
        <xdr:cNvPr id="9413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7101840"/>
          <a:ext cx="4953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594360</xdr:colOff>
      <xdr:row>49</xdr:row>
      <xdr:rowOff>68580</xdr:rowOff>
    </xdr:from>
    <xdr:to>
      <xdr:col>2</xdr:col>
      <xdr:colOff>1173480</xdr:colOff>
      <xdr:row>53</xdr:row>
      <xdr:rowOff>144780</xdr:rowOff>
    </xdr:to>
    <xdr:pic>
      <xdr:nvPicPr>
        <xdr:cNvPr id="9414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7360" y="10515600"/>
          <a:ext cx="57912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312420</xdr:colOff>
      <xdr:row>191</xdr:row>
      <xdr:rowOff>53340</xdr:rowOff>
    </xdr:from>
    <xdr:to>
      <xdr:col>2</xdr:col>
      <xdr:colOff>1242060</xdr:colOff>
      <xdr:row>191</xdr:row>
      <xdr:rowOff>411480</xdr:rowOff>
    </xdr:to>
    <xdr:pic>
      <xdr:nvPicPr>
        <xdr:cNvPr id="9415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" y="38511480"/>
          <a:ext cx="9296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449580</xdr:colOff>
      <xdr:row>162</xdr:row>
      <xdr:rowOff>83820</xdr:rowOff>
    </xdr:from>
    <xdr:to>
      <xdr:col>2</xdr:col>
      <xdr:colOff>1219200</xdr:colOff>
      <xdr:row>162</xdr:row>
      <xdr:rowOff>335280</xdr:rowOff>
    </xdr:to>
    <xdr:pic>
      <xdr:nvPicPr>
        <xdr:cNvPr id="9416" name="Picture 638" descr="11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580" y="32819340"/>
          <a:ext cx="7696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533400</xdr:colOff>
      <xdr:row>164</xdr:row>
      <xdr:rowOff>45720</xdr:rowOff>
    </xdr:from>
    <xdr:to>
      <xdr:col>2</xdr:col>
      <xdr:colOff>1120140</xdr:colOff>
      <xdr:row>172</xdr:row>
      <xdr:rowOff>137160</xdr:rowOff>
    </xdr:to>
    <xdr:pic>
      <xdr:nvPicPr>
        <xdr:cNvPr id="9417" name="Picture 639" descr="222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3528000"/>
          <a:ext cx="58674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647700</xdr:colOff>
      <xdr:row>202</xdr:row>
      <xdr:rowOff>15240</xdr:rowOff>
    </xdr:from>
    <xdr:to>
      <xdr:col>2</xdr:col>
      <xdr:colOff>1074420</xdr:colOff>
      <xdr:row>203</xdr:row>
      <xdr:rowOff>0</xdr:rowOff>
    </xdr:to>
    <xdr:pic>
      <xdr:nvPicPr>
        <xdr:cNvPr id="9418" name="Picture 640" descr="11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41589960"/>
          <a:ext cx="4267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670560</xdr:colOff>
      <xdr:row>203</xdr:row>
      <xdr:rowOff>38100</xdr:rowOff>
    </xdr:from>
    <xdr:to>
      <xdr:col>2</xdr:col>
      <xdr:colOff>1043940</xdr:colOff>
      <xdr:row>203</xdr:row>
      <xdr:rowOff>411480</xdr:rowOff>
    </xdr:to>
    <xdr:pic>
      <xdr:nvPicPr>
        <xdr:cNvPr id="9419" name="Picture 641" descr="222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3560" y="42047160"/>
          <a:ext cx="37338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762000</xdr:colOff>
      <xdr:row>204</xdr:row>
      <xdr:rowOff>53340</xdr:rowOff>
    </xdr:from>
    <xdr:to>
      <xdr:col>2</xdr:col>
      <xdr:colOff>1005840</xdr:colOff>
      <xdr:row>204</xdr:row>
      <xdr:rowOff>388620</xdr:rowOff>
    </xdr:to>
    <xdr:pic>
      <xdr:nvPicPr>
        <xdr:cNvPr id="9420" name="Picture 642" descr="7b6d420211dc05624fdfc06bef8941cc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2496740"/>
          <a:ext cx="243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632460</xdr:colOff>
      <xdr:row>205</xdr:row>
      <xdr:rowOff>38100</xdr:rowOff>
    </xdr:from>
    <xdr:to>
      <xdr:col>2</xdr:col>
      <xdr:colOff>1089660</xdr:colOff>
      <xdr:row>205</xdr:row>
      <xdr:rowOff>388620</xdr:rowOff>
    </xdr:to>
    <xdr:pic>
      <xdr:nvPicPr>
        <xdr:cNvPr id="9421" name="Picture 643" descr="2330865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42915840"/>
          <a:ext cx="457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632460</xdr:colOff>
      <xdr:row>75</xdr:row>
      <xdr:rowOff>68580</xdr:rowOff>
    </xdr:from>
    <xdr:to>
      <xdr:col>2</xdr:col>
      <xdr:colOff>1211580</xdr:colOff>
      <xdr:row>79</xdr:row>
      <xdr:rowOff>144780</xdr:rowOff>
    </xdr:to>
    <xdr:pic>
      <xdr:nvPicPr>
        <xdr:cNvPr id="9422" name="Picture 72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15720060"/>
          <a:ext cx="57912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632460</xdr:colOff>
      <xdr:row>96</xdr:row>
      <xdr:rowOff>68580</xdr:rowOff>
    </xdr:from>
    <xdr:to>
      <xdr:col>2</xdr:col>
      <xdr:colOff>1211580</xdr:colOff>
      <xdr:row>100</xdr:row>
      <xdr:rowOff>144780</xdr:rowOff>
    </xdr:to>
    <xdr:pic>
      <xdr:nvPicPr>
        <xdr:cNvPr id="9423" name="Picture 732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19164300"/>
          <a:ext cx="57912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510540</xdr:colOff>
      <xdr:row>61</xdr:row>
      <xdr:rowOff>68580</xdr:rowOff>
    </xdr:from>
    <xdr:to>
      <xdr:col>2</xdr:col>
      <xdr:colOff>1272540</xdr:colOff>
      <xdr:row>61</xdr:row>
      <xdr:rowOff>381000</xdr:rowOff>
    </xdr:to>
    <xdr:pic>
      <xdr:nvPicPr>
        <xdr:cNvPr id="9424" name="Picture 637" descr="asdfadsfads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12931140"/>
          <a:ext cx="7620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731520</xdr:colOff>
      <xdr:row>31</xdr:row>
      <xdr:rowOff>45720</xdr:rowOff>
    </xdr:from>
    <xdr:to>
      <xdr:col>2</xdr:col>
      <xdr:colOff>1150620</xdr:colOff>
      <xdr:row>32</xdr:row>
      <xdr:rowOff>0</xdr:rowOff>
    </xdr:to>
    <xdr:pic>
      <xdr:nvPicPr>
        <xdr:cNvPr id="9425" name="Picture 60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4520" y="6355080"/>
          <a:ext cx="41910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533400</xdr:colOff>
      <xdr:row>135</xdr:row>
      <xdr:rowOff>68580</xdr:rowOff>
    </xdr:from>
    <xdr:to>
      <xdr:col>2</xdr:col>
      <xdr:colOff>1295400</xdr:colOff>
      <xdr:row>135</xdr:row>
      <xdr:rowOff>381000</xdr:rowOff>
    </xdr:to>
    <xdr:pic>
      <xdr:nvPicPr>
        <xdr:cNvPr id="9426" name="Picture 637" descr="asdfadsfads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6959560"/>
          <a:ext cx="7620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716280</xdr:colOff>
      <xdr:row>35</xdr:row>
      <xdr:rowOff>38100</xdr:rowOff>
    </xdr:from>
    <xdr:to>
      <xdr:col>2</xdr:col>
      <xdr:colOff>1165860</xdr:colOff>
      <xdr:row>35</xdr:row>
      <xdr:rowOff>396240</xdr:rowOff>
    </xdr:to>
    <xdr:pic>
      <xdr:nvPicPr>
        <xdr:cNvPr id="9427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280" y="7962900"/>
          <a:ext cx="4495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563880</xdr:colOff>
      <xdr:row>27</xdr:row>
      <xdr:rowOff>76200</xdr:rowOff>
    </xdr:from>
    <xdr:to>
      <xdr:col>2</xdr:col>
      <xdr:colOff>1234440</xdr:colOff>
      <xdr:row>28</xdr:row>
      <xdr:rowOff>350520</xdr:rowOff>
    </xdr:to>
    <xdr:pic>
      <xdr:nvPicPr>
        <xdr:cNvPr id="9428" name="Рисунок 241" descr="Standard D80 стандартная деревянная коробка1.jpg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" y="4777740"/>
          <a:ext cx="67056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579120</xdr:colOff>
      <xdr:row>55</xdr:row>
      <xdr:rowOff>91440</xdr:rowOff>
    </xdr:from>
    <xdr:to>
      <xdr:col>2</xdr:col>
      <xdr:colOff>1203960</xdr:colOff>
      <xdr:row>58</xdr:row>
      <xdr:rowOff>45720</xdr:rowOff>
    </xdr:to>
    <xdr:pic>
      <xdr:nvPicPr>
        <xdr:cNvPr id="9429" name="Рисунок 242" descr="58_PAGE1.jpg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120" y="1153668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632460</xdr:colOff>
      <xdr:row>81</xdr:row>
      <xdr:rowOff>68580</xdr:rowOff>
    </xdr:from>
    <xdr:to>
      <xdr:col>2</xdr:col>
      <xdr:colOff>1257300</xdr:colOff>
      <xdr:row>84</xdr:row>
      <xdr:rowOff>76200</xdr:rowOff>
    </xdr:to>
    <xdr:pic>
      <xdr:nvPicPr>
        <xdr:cNvPr id="9430" name="Рисунок 243" descr="60_PAGE1.jpg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16718280"/>
          <a:ext cx="62484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632460</xdr:colOff>
      <xdr:row>102</xdr:row>
      <xdr:rowOff>121920</xdr:rowOff>
    </xdr:from>
    <xdr:to>
      <xdr:col>2</xdr:col>
      <xdr:colOff>1257300</xdr:colOff>
      <xdr:row>105</xdr:row>
      <xdr:rowOff>76200</xdr:rowOff>
    </xdr:to>
    <xdr:pic>
      <xdr:nvPicPr>
        <xdr:cNvPr id="9431" name="Рисунок 244" descr="62_PAGE1.jpg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2021586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312420</xdr:colOff>
      <xdr:row>192</xdr:row>
      <xdr:rowOff>30480</xdr:rowOff>
    </xdr:from>
    <xdr:to>
      <xdr:col>2</xdr:col>
      <xdr:colOff>1272540</xdr:colOff>
      <xdr:row>192</xdr:row>
      <xdr:rowOff>388620</xdr:rowOff>
    </xdr:to>
    <xdr:pic>
      <xdr:nvPicPr>
        <xdr:cNvPr id="9432" name="Рисунок 212" descr="HANDY  (срібна матова, фото 2).png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" y="38922960"/>
          <a:ext cx="9601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312420</xdr:colOff>
      <xdr:row>194</xdr:row>
      <xdr:rowOff>30480</xdr:rowOff>
    </xdr:from>
    <xdr:to>
      <xdr:col>2</xdr:col>
      <xdr:colOff>1318260</xdr:colOff>
      <xdr:row>194</xdr:row>
      <xdr:rowOff>388620</xdr:rowOff>
    </xdr:to>
    <xdr:pic>
      <xdr:nvPicPr>
        <xdr:cNvPr id="9433" name="Рисунок 213" descr="7424.970.jpg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" y="39791640"/>
          <a:ext cx="1005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312420</xdr:colOff>
      <xdr:row>190</xdr:row>
      <xdr:rowOff>38100</xdr:rowOff>
    </xdr:from>
    <xdr:to>
      <xdr:col>2</xdr:col>
      <xdr:colOff>1234440</xdr:colOff>
      <xdr:row>191</xdr:row>
      <xdr:rowOff>0</xdr:rowOff>
    </xdr:to>
    <xdr:pic>
      <xdr:nvPicPr>
        <xdr:cNvPr id="9434" name="Рисунок 214" descr="Verona_silver-mat.png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" y="38061900"/>
          <a:ext cx="9220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312420</xdr:colOff>
      <xdr:row>193</xdr:row>
      <xdr:rowOff>38100</xdr:rowOff>
    </xdr:from>
    <xdr:to>
      <xdr:col>2</xdr:col>
      <xdr:colOff>1310640</xdr:colOff>
      <xdr:row>194</xdr:row>
      <xdr:rowOff>0</xdr:rowOff>
    </xdr:to>
    <xdr:pic>
      <xdr:nvPicPr>
        <xdr:cNvPr id="9435" name="Рисунок 215" descr="Prius (2) - брашированный мат.хром.jpg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" y="39364920"/>
          <a:ext cx="998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548640</xdr:colOff>
      <xdr:row>123</xdr:row>
      <xdr:rowOff>0</xdr:rowOff>
    </xdr:from>
    <xdr:to>
      <xdr:col>2</xdr:col>
      <xdr:colOff>1104900</xdr:colOff>
      <xdr:row>129</xdr:row>
      <xdr:rowOff>121920</xdr:rowOff>
    </xdr:to>
    <xdr:pic>
      <xdr:nvPicPr>
        <xdr:cNvPr id="9436" name="Рисунок 115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" y="24467820"/>
          <a:ext cx="55626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533400</xdr:colOff>
      <xdr:row>108</xdr:row>
      <xdr:rowOff>68580</xdr:rowOff>
    </xdr:from>
    <xdr:to>
      <xdr:col>2</xdr:col>
      <xdr:colOff>1295400</xdr:colOff>
      <xdr:row>108</xdr:row>
      <xdr:rowOff>381000</xdr:rowOff>
    </xdr:to>
    <xdr:pic>
      <xdr:nvPicPr>
        <xdr:cNvPr id="9437" name="Picture 637" descr="asdfadsfads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1579840"/>
          <a:ext cx="7620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60960</xdr:colOff>
      <xdr:row>9</xdr:row>
      <xdr:rowOff>0</xdr:rowOff>
    </xdr:from>
    <xdr:to>
      <xdr:col>4</xdr:col>
      <xdr:colOff>525780</xdr:colOff>
      <xdr:row>14</xdr:row>
      <xdr:rowOff>45720</xdr:rowOff>
    </xdr:to>
    <xdr:sp macro="" textlink="">
      <xdr:nvSpPr>
        <xdr:cNvPr id="9438" name="AutoShape 1"/>
        <xdr:cNvSpPr>
          <a:spLocks noChangeAspect="1" noChangeArrowheads="1"/>
        </xdr:cNvSpPr>
      </xdr:nvSpPr>
      <xdr:spPr bwMode="auto">
        <a:xfrm>
          <a:off x="2621280" y="1272540"/>
          <a:ext cx="46482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60960</xdr:colOff>
      <xdr:row>9</xdr:row>
      <xdr:rowOff>0</xdr:rowOff>
    </xdr:from>
    <xdr:to>
      <xdr:col>4</xdr:col>
      <xdr:colOff>525780</xdr:colOff>
      <xdr:row>14</xdr:row>
      <xdr:rowOff>45720</xdr:rowOff>
    </xdr:to>
    <xdr:sp macro="" textlink="">
      <xdr:nvSpPr>
        <xdr:cNvPr id="9439" name="AutoShape 5"/>
        <xdr:cNvSpPr>
          <a:spLocks noChangeAspect="1" noChangeArrowheads="1"/>
        </xdr:cNvSpPr>
      </xdr:nvSpPr>
      <xdr:spPr bwMode="auto">
        <a:xfrm>
          <a:off x="2621280" y="1272540"/>
          <a:ext cx="46482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149</xdr:row>
      <xdr:rowOff>137160</xdr:rowOff>
    </xdr:from>
    <xdr:to>
      <xdr:col>2</xdr:col>
      <xdr:colOff>1257300</xdr:colOff>
      <xdr:row>150</xdr:row>
      <xdr:rowOff>228600</xdr:rowOff>
    </xdr:to>
    <xdr:pic>
      <xdr:nvPicPr>
        <xdr:cNvPr id="9440" name="Picture 60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9946600"/>
          <a:ext cx="57150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1</xdr:row>
      <xdr:rowOff>0</xdr:rowOff>
    </xdr:from>
    <xdr:to>
      <xdr:col>2</xdr:col>
      <xdr:colOff>1211580</xdr:colOff>
      <xdr:row>5</xdr:row>
      <xdr:rowOff>38100</xdr:rowOff>
    </xdr:to>
    <xdr:pic>
      <xdr:nvPicPr>
        <xdr:cNvPr id="9441" name="Picture 383" descr="123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60020"/>
          <a:ext cx="221742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11"/>
  </sheetPr>
  <dimension ref="A1:I53"/>
  <sheetViews>
    <sheetView showGridLines="0" tabSelected="1" workbookViewId="0">
      <selection activeCell="C50" sqref="C50"/>
    </sheetView>
  </sheetViews>
  <sheetFormatPr defaultColWidth="9.109375" defaultRowHeight="10.199999999999999" x14ac:dyDescent="0.2"/>
  <cols>
    <col min="1" max="1" width="2.5546875" style="49" customWidth="1"/>
    <col min="2" max="2" width="5.109375" style="49" customWidth="1"/>
    <col min="3" max="3" width="41.33203125" style="49" bestFit="1" customWidth="1"/>
    <col min="4" max="4" width="9.109375" style="49"/>
    <col min="5" max="5" width="10.33203125" style="49" customWidth="1"/>
    <col min="6" max="8" width="9.109375" style="49"/>
    <col min="9" max="9" width="0" style="49" hidden="1" customWidth="1"/>
    <col min="10" max="16384" width="9.109375" style="49"/>
  </cols>
  <sheetData>
    <row r="1" spans="2:9" ht="5.0999999999999996" customHeight="1" x14ac:dyDescent="0.2"/>
    <row r="2" spans="2:9" x14ac:dyDescent="0.2">
      <c r="B2" s="333" t="str">
        <f>IF($E$4="ENG","VERSION: 65.00.26","ВЕРСІЯ: 65.00.26")</f>
        <v>ВЕРСІЯ: 65.00.26</v>
      </c>
      <c r="C2" s="333"/>
      <c r="D2" s="59" t="str">
        <f>IF($E$4="ENG","valid from:  
16 березня 2026","діє з: 16 березня 2026 р.")</f>
        <v>діє з: 16 березня 2026 р.</v>
      </c>
      <c r="I2" s="100" t="s">
        <v>57</v>
      </c>
    </row>
    <row r="3" spans="2:9" x14ac:dyDescent="0.2">
      <c r="I3" s="100" t="s">
        <v>6</v>
      </c>
    </row>
    <row r="4" spans="2:9" x14ac:dyDescent="0.2">
      <c r="D4" s="99" t="str">
        <f>IF(E4="ENG","choose language:","оберіть мову:")</f>
        <v>оберіть мову:</v>
      </c>
      <c r="E4" s="102" t="s">
        <v>57</v>
      </c>
    </row>
    <row r="6" spans="2:9" ht="5.0999999999999996" customHeight="1" x14ac:dyDescent="0.2"/>
    <row r="7" spans="2:9" ht="13.2" x14ac:dyDescent="0.25">
      <c r="B7" s="50" t="str">
        <f>IF($E$4="ENG","INTERIOR DOOR LEAFS","ДВЕРІ МІЖКІМНАТНІ ЛАМІНОВАНІ")</f>
        <v>ДВЕРІ МІЖКІМНАТНІ ЛАМІНОВАНІ</v>
      </c>
    </row>
    <row r="8" spans="2:9" ht="10.8" x14ac:dyDescent="0.2">
      <c r="C8" s="51" t="str">
        <f>IF($E$4="ENG","Door leafs: STANDARD","Полотна каркасно-щитові: STANDARD")</f>
        <v>Полотна каркасно-щитові: STANDARD</v>
      </c>
      <c r="D8" s="52"/>
      <c r="E8" s="53"/>
    </row>
    <row r="9" spans="2:9" ht="10.8" x14ac:dyDescent="0.2">
      <c r="C9" s="54" t="str">
        <f>IF($E$4="ENG","Door leafs: KUPAVA","Полотна каркасно-щитові: KUPAVA")</f>
        <v>Полотна каркасно-щитові: KUPAVA</v>
      </c>
      <c r="D9" s="55"/>
      <c r="E9" s="56"/>
    </row>
    <row r="10" spans="2:9" ht="10.8" x14ac:dyDescent="0.2">
      <c r="C10" s="54" t="str">
        <f>IF($E$4="ENG","Door leafs: GEOMETRY","Полотна каркасно-щитові: GEOMETRIYA")</f>
        <v>Полотна каркасно-щитові: GEOMETRIYA</v>
      </c>
      <c r="D10" s="55"/>
      <c r="E10" s="56"/>
    </row>
    <row r="11" spans="2:9" ht="10.8" x14ac:dyDescent="0.2">
      <c r="C11" s="54" t="str">
        <f>IF($E$4="ENG","Door leafs: IDEA","Полотна каркасно-щитові: IDEA")</f>
        <v>Полотна каркасно-щитові: IDEA</v>
      </c>
      <c r="D11" s="78"/>
      <c r="E11" s="56"/>
    </row>
    <row r="12" spans="2:9" ht="10.8" x14ac:dyDescent="0.2">
      <c r="C12" s="54" t="str">
        <f>IF($E$4="ENG","Door leafs: IDEA-LOFT","Полотна каркасно-щитові: IDEA-LOFT")</f>
        <v>Полотна каркасно-щитові: IDEA-LOFT</v>
      </c>
      <c r="D12" s="78"/>
      <c r="E12" s="141"/>
    </row>
    <row r="13" spans="2:9" ht="10.8" x14ac:dyDescent="0.2">
      <c r="C13" s="54" t="str">
        <f>IF($E$4="ENG","Door leafs: IDEA-ALUM","Полотна каркасно-щитові: IDEA-ALUM")</f>
        <v>Полотна каркасно-щитові: IDEA-ALUM</v>
      </c>
      <c r="D13" s="78"/>
      <c r="E13" s="141"/>
    </row>
    <row r="14" spans="2:9" ht="10.8" x14ac:dyDescent="0.2">
      <c r="C14" s="54" t="str">
        <f>IF($E$4="ENG","Wooden Door leafs:SOHO","Полотна збірні: OXFORD")</f>
        <v>Полотна збірні: OXFORD</v>
      </c>
      <c r="D14" s="78"/>
      <c r="E14" s="141"/>
    </row>
    <row r="15" spans="2:9" ht="10.8" x14ac:dyDescent="0.2">
      <c r="C15" s="54" t="str">
        <f>IF($E$4="ENG","Wooden Door leafs:Modena","Полотна збірні: MODENA")</f>
        <v>Полотна збірні: MODENA</v>
      </c>
      <c r="D15" s="78"/>
      <c r="E15" s="141"/>
    </row>
    <row r="16" spans="2:9" ht="10.8" x14ac:dyDescent="0.2">
      <c r="C16" s="54" t="str">
        <f>IF($E$4="ENG","Wooden Door leafs:Classic","Полотна збірні: CLASSIC")</f>
        <v>Полотна збірні: CLASSIC</v>
      </c>
      <c r="D16" s="78"/>
      <c r="E16" s="141"/>
    </row>
    <row r="17" spans="1:7" ht="10.8" x14ac:dyDescent="0.2">
      <c r="C17" s="54" t="str">
        <f>IF($E$4="ENG","Wooden Door leafs:Provence","Полотна збірні: PROVENCE")</f>
        <v>Полотна збірні: PROVENCE</v>
      </c>
      <c r="D17" s="78"/>
      <c r="E17" s="141"/>
    </row>
    <row r="18" spans="1:7" ht="10.8" x14ac:dyDescent="0.2">
      <c r="C18" s="54" t="str">
        <f>IF($E$4="ENG","Wooden Door leafs: LADA A","Полотна збірні: LADA A")</f>
        <v>Полотна збірні: LADA A</v>
      </c>
      <c r="D18" s="78"/>
      <c r="E18" s="141"/>
    </row>
    <row r="19" spans="1:7" ht="10.8" x14ac:dyDescent="0.2">
      <c r="C19" s="54" t="str">
        <f>IF($E$4="ENG","Wooden Door leafs: LADA B","Полотна збірні: LADA B")</f>
        <v>Полотна збірні: LADA B</v>
      </c>
      <c r="D19" s="78"/>
      <c r="E19" s="141"/>
    </row>
    <row r="20" spans="1:7" ht="10.8" x14ac:dyDescent="0.2">
      <c r="C20" s="54" t="str">
        <f>IF($E$4="ENG","Wooden Door leafs: LADA C","Полотна збірні: LADA C")</f>
        <v>Полотна збірні: LADA C</v>
      </c>
      <c r="D20" s="78"/>
      <c r="E20" s="141"/>
    </row>
    <row r="21" spans="1:7" ht="10.8" x14ac:dyDescent="0.2">
      <c r="C21" s="54" t="str">
        <f>IF($E$4="ENG","Wooden Door leafs: LADA D","Полотна збірні: LADA D")</f>
        <v>Полотна збірні: LADA D</v>
      </c>
      <c r="D21" s="78"/>
      <c r="E21" s="141"/>
    </row>
    <row r="22" spans="1:7" ht="10.8" x14ac:dyDescent="0.2">
      <c r="C22" s="54" t="str">
        <f>IF($E$4="ENG","Wooden Door leafs: NIKA","Полотна збірні: NIKA")</f>
        <v>Полотна збірні: NIKA</v>
      </c>
      <c r="D22" s="78"/>
      <c r="E22" s="141"/>
    </row>
    <row r="23" spans="1:7" ht="10.8" x14ac:dyDescent="0.2">
      <c r="C23" s="54" t="str">
        <f>IF($E$4="ENG","Wooden Door leafs: LISA","Полотна збірні: LISA")</f>
        <v>Полотна збірні: LISA</v>
      </c>
      <c r="D23" s="78"/>
      <c r="E23" s="141"/>
    </row>
    <row r="24" spans="1:7" ht="10.8" x14ac:dyDescent="0.2">
      <c r="C24" s="54" t="str">
        <f>IF($E$4="ENG","Wooden Door leafs: LADA-CONCEPT","Полотна збірні: LADA-CONCEPT")</f>
        <v>Полотна збірні: LADA-CONCEPT</v>
      </c>
      <c r="D24" s="78"/>
      <c r="E24" s="56"/>
    </row>
    <row r="25" spans="1:7" ht="10.8" x14ac:dyDescent="0.2">
      <c r="A25" s="57"/>
      <c r="B25" s="57"/>
      <c r="C25" s="54" t="str">
        <f>IF($E$4="ENG","Wooden Door leafs: LADA-NOVA","Полотна збірні: LADA-NOVA")</f>
        <v>Полотна збірні: LADA-NOVA</v>
      </c>
      <c r="D25" s="78"/>
      <c r="E25" s="56"/>
    </row>
    <row r="26" spans="1:7" ht="10.8" x14ac:dyDescent="0.2">
      <c r="B26" s="80"/>
      <c r="C26" s="54" t="str">
        <f>IF($E$4="ENG","Wooden Door leafs: LADA-LOFT","Полотна збірні: LADA-LOFT")</f>
        <v>Полотна збірні: LADA-LOFT</v>
      </c>
      <c r="D26" s="78"/>
      <c r="E26" s="56"/>
    </row>
    <row r="27" spans="1:7" ht="10.8" x14ac:dyDescent="0.2">
      <c r="C27" s="54" t="str">
        <f>IF($E$4="ENG","Wooden Door leafs: TIANA","Полотна збірні: TIANA")</f>
        <v>Полотна збірні: TIANA</v>
      </c>
      <c r="D27" s="78"/>
      <c r="E27" s="141"/>
    </row>
    <row r="28" spans="1:7" ht="10.8" x14ac:dyDescent="0.2">
      <c r="C28" s="54" t="str">
        <f>IF($E$4="ENG","Wooden Door leafs: EVA","Полотна збірні: EVA")</f>
        <v>Полотна збірні: EVA</v>
      </c>
      <c r="D28" s="78"/>
      <c r="E28" s="141"/>
    </row>
    <row r="29" spans="1:7" ht="10.8" x14ac:dyDescent="0.2">
      <c r="C29" s="54" t="str">
        <f>IF($E$4="ENG","Glass Door leafs: LINEYA","Полотна скляні: LINEYA")</f>
        <v>Полотна скляні: LINEYA</v>
      </c>
      <c r="D29" s="55"/>
      <c r="E29" s="56"/>
    </row>
    <row r="30" spans="1:7" ht="10.8" x14ac:dyDescent="0.2">
      <c r="C30" s="54" t="str">
        <f>IF($E$4="ENG","Glass Door leafs: LINE","Полотна скляні: LINE")</f>
        <v>Полотна скляні: LINE</v>
      </c>
      <c r="D30" s="78"/>
      <c r="E30" s="56"/>
    </row>
    <row r="31" spans="1:7" ht="10.8" x14ac:dyDescent="0.2">
      <c r="C31" s="54" t="str">
        <f>IF($E$4="ENG","Glass Door leafs: ELEGANT","Полотна скляні: ELEGANT")</f>
        <v>Полотна скляні: ELEGANT</v>
      </c>
      <c r="D31" s="78"/>
      <c r="E31" s="56"/>
    </row>
    <row r="32" spans="1:7" ht="10.8" x14ac:dyDescent="0.2">
      <c r="C32" s="54" t="str">
        <f>IF($E$4="ENG","Glass Door leafs: GLASSFORD","Полотна скляні: GLASSFORD")</f>
        <v>Полотна скляні: GLASSFORD</v>
      </c>
      <c r="D32" s="55"/>
      <c r="E32" s="56"/>
      <c r="G32" s="101"/>
    </row>
    <row r="33" spans="2:7" ht="10.8" x14ac:dyDescent="0.2">
      <c r="C33" s="54" t="str">
        <f>IF($E$4="ENG","Side Panel LADA","Полотна: ДОБОР LADA")</f>
        <v>Полотна: ДОБОР LADA</v>
      </c>
      <c r="D33" s="55"/>
      <c r="E33" s="141"/>
    </row>
    <row r="34" spans="2:7" ht="10.8" x14ac:dyDescent="0.2">
      <c r="C34" s="54" t="str">
        <f>IF($E$4="ENG","Side Panels","Полотна: ДОБОРИ")</f>
        <v>Полотна: ДОБОРИ</v>
      </c>
      <c r="D34" s="55"/>
      <c r="E34" s="56"/>
    </row>
    <row r="36" spans="2:7" ht="13.2" x14ac:dyDescent="0.25">
      <c r="B36" s="50" t="str">
        <f>IF($E$4="ENG","DOOR SLIDING SYSTEMS","РОЗСУВНІ СИСТЕМИ")</f>
        <v>РОЗСУВНІ СИСТЕМИ</v>
      </c>
      <c r="G36" s="101"/>
    </row>
    <row r="37" spans="2:7" ht="10.8" x14ac:dyDescent="0.2">
      <c r="C37" s="51" t="str">
        <f>IF($E$4="ENG","Sliding System Verto-SLIDE","Розсувна система Verto-SLIDE")</f>
        <v>Розсувна система Verto-SLIDE</v>
      </c>
      <c r="D37" s="79"/>
      <c r="E37" s="53"/>
    </row>
    <row r="39" spans="2:7" ht="13.2" x14ac:dyDescent="0.25">
      <c r="B39" s="50" t="str">
        <f>IF($E$4="ENG","DOOR FRAMES, TRANSOMS AND PLINTHS","ДВЕРНІ КОРОБКИ, ФРАМУГИ ТА ПЛІНТУСИ")</f>
        <v>ДВЕРНІ КОРОБКИ, ФРАМУГИ ТА ПЛІНТУСИ</v>
      </c>
    </row>
    <row r="40" spans="2:7" ht="10.8" x14ac:dyDescent="0.2">
      <c r="C40" s="51" t="str">
        <f>IF($E$4="ENG","Door Frame: STANDART","Дверна коробка STANDARD")</f>
        <v>Дверна коробка STANDARD</v>
      </c>
      <c r="D40" s="79"/>
      <c r="E40" s="53"/>
    </row>
    <row r="41" spans="2:7" ht="10.8" hidden="1" x14ac:dyDescent="0.2">
      <c r="C41" s="51" t="str">
        <f>IF($E$4="ENG","Door Frame: STANDART","Дверна коробка STANDARD - Алюм")</f>
        <v>Дверна коробка STANDARD - Алюм</v>
      </c>
      <c r="D41" s="79"/>
      <c r="E41" s="53"/>
    </row>
    <row r="42" spans="2:7" ht="10.8" x14ac:dyDescent="0.2">
      <c r="C42" s="54" t="str">
        <f>IF($E$4="ENG","Door Frame: Verto-FIT","Дверна коробка Verto-FIT")</f>
        <v>Дверна коробка Verto-FIT</v>
      </c>
      <c r="D42" s="79"/>
      <c r="E42" s="56"/>
    </row>
    <row r="43" spans="2:7" ht="10.8" x14ac:dyDescent="0.2">
      <c r="C43" s="54" t="str">
        <f>IF($E$4="ENG","Door Frame: Verto-FIT Plus","Дверна коробка Verto-FIT Plus")</f>
        <v>Дверна коробка Verto-FIT Plus</v>
      </c>
      <c r="D43" s="79"/>
      <c r="E43" s="56"/>
    </row>
    <row r="44" spans="2:7" ht="10.8" x14ac:dyDescent="0.2">
      <c r="C44" s="54" t="str">
        <f>IF($E$4="ENG","Door Frame: Verto-FIT Comfort","Дверна коробка Verto-FIT Comfort")</f>
        <v>Дверна коробка Verto-FIT Comfort</v>
      </c>
      <c r="D44" s="79"/>
      <c r="E44" s="56"/>
      <c r="G44" s="101"/>
    </row>
    <row r="45" spans="2:7" ht="10.8" x14ac:dyDescent="0.2">
      <c r="C45" s="54" t="str">
        <f>IF($E$4="ENG","Door Frame: Verto-FIT Inside","Дверна коробка Verto-FIT Inside")</f>
        <v>Дверна коробка Verto-FIT Inside</v>
      </c>
      <c r="D45" s="79"/>
      <c r="E45" s="56"/>
      <c r="G45" s="101"/>
    </row>
    <row r="46" spans="2:7" ht="10.8" x14ac:dyDescent="0.2">
      <c r="C46" s="54" t="str">
        <f>IF($E$4="ENG","Plinths","Плінтуси")</f>
        <v>Плінтуси</v>
      </c>
      <c r="D46" s="79"/>
      <c r="E46" s="56"/>
    </row>
    <row r="47" spans="2:7" ht="10.8" x14ac:dyDescent="0.2">
      <c r="C47" s="54" t="str">
        <f>IF($E$4="ENG","Transoms","Фрамуги")</f>
        <v>Фрамуги</v>
      </c>
      <c r="D47" s="79"/>
      <c r="E47" s="56"/>
    </row>
    <row r="49" spans="2:5" ht="13.2" x14ac:dyDescent="0.25">
      <c r="B49" s="50" t="str">
        <f>IF($E$4="ENG","OTHER DOOR ACCESSORIES","ІНШІ АКСЕСУАРИ")</f>
        <v>ІНШІ АКСЕСУАРИ</v>
      </c>
    </row>
    <row r="50" spans="2:5" ht="13.2" x14ac:dyDescent="0.25">
      <c r="B50" s="50"/>
      <c r="C50" s="98" t="str">
        <f>IF($E$4="ENG","Door handles","Дверні Ручки")</f>
        <v>Дверні Ручки</v>
      </c>
      <c r="D50" s="52"/>
      <c r="E50" s="53"/>
    </row>
    <row r="51" spans="2:5" ht="10.8" x14ac:dyDescent="0.2">
      <c r="B51" s="80"/>
      <c r="C51" s="51" t="str">
        <f>IF($E$4="ENG","Other door accessories","Інші Аксесуари")</f>
        <v>Інші Аксесуари</v>
      </c>
      <c r="D51" s="52"/>
      <c r="E51" s="53"/>
    </row>
    <row r="52" spans="2:5" x14ac:dyDescent="0.2">
      <c r="C52" s="58"/>
    </row>
    <row r="53" spans="2:5" x14ac:dyDescent="0.2">
      <c r="C53" s="58"/>
    </row>
  </sheetData>
  <sheetProtection algorithmName="SHA-512" hashValue="qPPDgmhGp16iCz6C7plbFkdqbWENNyv2JRYPjnIuJwvxx1mYQJOU6B5CQ3xTm0vvgQ4N4+azRNoPLvkDCcDJOw==" saltValue="POPZjIDnGow8ChgTEwAnLg==" spinCount="100000" sheet="1"/>
  <mergeCells count="1">
    <mergeCell ref="B2:C2"/>
  </mergeCells>
  <phoneticPr fontId="5" type="noConversion"/>
  <dataValidations count="1">
    <dataValidation type="list" allowBlank="1" showInputMessage="1" showErrorMessage="1" sqref="E4">
      <formula1>$I$2:$I$3</formula1>
    </dataValidation>
  </dataValidations>
  <hyperlinks>
    <hyperlink ref="C8" location="Door_Standard" display="Полотна гладкие: СТАНДАРТ"/>
    <hyperlink ref="C9" location="Door_Kupava" display="Полотна гладкие: КУПАВА"/>
    <hyperlink ref="C10" location="Door_Geometry" display="Полотна гладкие: ГЕОМЕТРИЯ"/>
    <hyperlink ref="C11" location="Door_Idea" display="Полотна гладкие: ИДЕЯ"/>
    <hyperlink ref="C18" location="Door_LadaA" display="Door_LadaA"/>
    <hyperlink ref="C24" location="Door_LadaK" display="Полотна сборные: ЛАДА-КОНЦЕПТ"/>
    <hyperlink ref="C29" location="Door_Lineya" display="Полотна стеклянные: ЛИНЕЯ"/>
    <hyperlink ref="C30" location="Door_Line" display="Полотна стеклянные: ЛАЙН"/>
    <hyperlink ref="C31" location="Door_Elegant" display="Полотна стеклянные: ЭЛЕГАНТ"/>
    <hyperlink ref="C32" location="Door_Glasford" display="Полотна стеклянные: ГЛАСФОРД"/>
    <hyperlink ref="C40" location="Дверна_коробка_STANDARD" display="Дверна_коробка_STANDARD"/>
    <hyperlink ref="C42" location="Дверна_коробка_Verto_FIT" display="Дверна_коробка_Verto_FIT"/>
    <hyperlink ref="C47" location="Фрамуги" display="Фрамуги"/>
    <hyperlink ref="C51" location="Інші_Аксесуари" display="Інші_Аксесуари"/>
    <hyperlink ref="C33" location="Door_Dobor_Lada" display="Door_Dobor_Lada"/>
    <hyperlink ref="C37" location="Розсувна_система_Verto_SLIDE" display="Розсувна_система_Verto_SLIDE"/>
    <hyperlink ref="C50" location="Дверні_Ручки" display="Дверні_Ручки"/>
    <hyperlink ref="C43" location="Дверна_коробка_Verto_FIT_Plus" display="Дверна_коробка_Verto_FIT_Plus"/>
    <hyperlink ref="C44" location="Дверна_коробка_Verto_FIT_Comfort" display="Дверна_коробка_Verto_FIT_Comfort"/>
    <hyperlink ref="C25" location="Door_LadaN" display="Полотна сборные: ЛАДА-НОВА"/>
    <hyperlink ref="C26" location="Door_LadaL" display="Door_LadaL"/>
    <hyperlink ref="C46" location="Плінтуси" display="Плінтуси"/>
    <hyperlink ref="C19:C21" location="Door_Lada" display="Полотна сборные: ЛАДА"/>
    <hyperlink ref="C22" location="Door_Nika" display="Door_Nika"/>
    <hyperlink ref="C23" location="Door_Lisa" display="Door_Lisa"/>
    <hyperlink ref="C27" location="Door_Tiana" display="Door_Tiana"/>
    <hyperlink ref="C28" location="Door_Eva" display="Door_Eva"/>
    <hyperlink ref="C19" location="Door_LadaB" display="Door_LadaB"/>
    <hyperlink ref="C20" location="Door_LadaC" display="Door_LadaC"/>
    <hyperlink ref="C21" location="Door_LadaD" display="Door_LadaD"/>
    <hyperlink ref="C34" location="Door_Dobor" display="Полотна: ДОБОРЫ"/>
    <hyperlink ref="C12" location="Door_IdeaLoft" display="Door_IdeaLoft"/>
    <hyperlink ref="C16" location="Полотна_збірні__КЛАСІК" display="Полотна_збірні__КЛАСІК"/>
    <hyperlink ref="C45" location="Дверна_коробка_Verto_FIT_Inside" display="Дверна_коробка_Verto_FIT_Inside"/>
    <hyperlink ref="C17" location="'Полотна (Door Leafs)'!Полотна_збірні__PROVENCE" display="'Полотна (Door Leafs)'!Полотна_збірні__PROVENCE"/>
    <hyperlink ref="C13" location="ІДЕЯ_АЛЮМ" display="ІДЕЯ_АЛЮМ"/>
    <hyperlink ref="C41" location="Дверна_коробка_STANDARD___Алюм" display="Дверна_коробка_STANDARD___Алюм"/>
    <hyperlink ref="C14" location="Полотна_збірні__СОХО" display="Полотна_збірні__СОХО"/>
    <hyperlink ref="C15" location="Полотна_збірні__МОДЕНА" display="Полотна_збірні__МОДЕНА"/>
  </hyperlinks>
  <pageMargins left="0.37" right="0.41" top="0.49" bottom="0.49" header="0.5" footer="0.5"/>
  <pageSetup paperSize="9" scale="12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13"/>
  </sheetPr>
  <dimension ref="A1:AU837"/>
  <sheetViews>
    <sheetView showGridLines="0" zoomScale="70" zoomScaleNormal="70" workbookViewId="0">
      <pane ySplit="6" topLeftCell="A7" activePane="bottomLeft" state="frozen"/>
      <selection pane="bottomLeft" activeCell="BA139" sqref="BA139"/>
    </sheetView>
  </sheetViews>
  <sheetFormatPr defaultColWidth="9.109375" defaultRowHeight="13.2" x14ac:dyDescent="0.25"/>
  <cols>
    <col min="1" max="1" width="1" style="1" customWidth="1"/>
    <col min="2" max="2" width="15.6640625" style="1" customWidth="1"/>
    <col min="3" max="3" width="20.6640625" style="111" customWidth="1"/>
    <col min="4" max="4" width="6.6640625" style="1" hidden="1" customWidth="1"/>
    <col min="5" max="5" width="15.5546875" style="1" customWidth="1"/>
    <col min="6" max="6" width="6.6640625" style="1" hidden="1" customWidth="1"/>
    <col min="7" max="7" width="15.5546875" style="1" customWidth="1"/>
    <col min="8" max="8" width="6.6640625" style="1" hidden="1" customWidth="1"/>
    <col min="9" max="9" width="15.5546875" style="1" customWidth="1"/>
    <col min="10" max="10" width="6.6640625" style="1" hidden="1" customWidth="1"/>
    <col min="11" max="11" width="15.5546875" style="1" customWidth="1"/>
    <col min="12" max="12" width="6.6640625" style="1" hidden="1" customWidth="1"/>
    <col min="13" max="13" width="15.5546875" style="1" customWidth="1"/>
    <col min="14" max="14" width="6.6640625" style="1" hidden="1" customWidth="1"/>
    <col min="15" max="15" width="15.5546875" style="1" customWidth="1"/>
    <col min="16" max="16" width="6.6640625" style="1" hidden="1" customWidth="1"/>
    <col min="17" max="17" width="15.5546875" style="1" customWidth="1"/>
    <col min="18" max="18" width="6.6640625" style="1" customWidth="1"/>
    <col min="19" max="19" width="15.5546875" style="1" customWidth="1"/>
    <col min="20" max="20" width="6.6640625" style="1" customWidth="1"/>
    <col min="21" max="21" width="15.5546875" style="1" customWidth="1"/>
    <col min="22" max="22" width="6.6640625" style="1" customWidth="1"/>
    <col min="23" max="23" width="15.5546875" style="1" customWidth="1"/>
    <col min="24" max="25" width="10.6640625" style="1" customWidth="1"/>
    <col min="26" max="27" width="10.6640625" style="1" hidden="1" customWidth="1"/>
    <col min="28" max="28" width="14.109375" style="1" hidden="1" customWidth="1"/>
    <col min="29" max="39" width="9.109375" style="1" hidden="1" customWidth="1"/>
    <col min="40" max="40" width="9.33203125" style="25" hidden="1" customWidth="1"/>
    <col min="41" max="46" width="9.109375" style="25" hidden="1" customWidth="1"/>
    <col min="47" max="47" width="9.109375" style="1" hidden="1" customWidth="1"/>
    <col min="48" max="73" width="9.109375" style="1" customWidth="1"/>
    <col min="74" max="16384" width="9.109375" style="1"/>
  </cols>
  <sheetData>
    <row r="1" spans="2:46" ht="12.75" customHeight="1" x14ac:dyDescent="0.25">
      <c r="B1" s="81" t="str">
        <f>TITLE!B2</f>
        <v>ВЕРСІЯ: 65.00.26</v>
      </c>
      <c r="C1" s="110" t="str">
        <f>TITLE!E4</f>
        <v>UA</v>
      </c>
      <c r="E1" s="336" t="str">
        <f>IF($C$1="ENG","51400, Pavlograd town, 9 Teroshkina Str","51400, м. Павлоград, вул. Терьошкіна, 9")</f>
        <v>51400, м. Павлоград, вул. Терьошкіна, 9</v>
      </c>
      <c r="F1" s="336"/>
      <c r="G1" s="336"/>
      <c r="H1" s="336"/>
      <c r="I1" s="336"/>
      <c r="J1" s="336"/>
      <c r="K1" s="336"/>
      <c r="N1" s="65"/>
      <c r="O1" s="65"/>
      <c r="R1" s="65"/>
      <c r="S1" s="65"/>
      <c r="V1" s="63"/>
      <c r="W1" s="64"/>
      <c r="AC1" s="126"/>
    </row>
    <row r="2" spans="2:46" x14ac:dyDescent="0.25">
      <c r="E2" s="337" t="str">
        <f>IF($C$1="ENG","e-mail: info@verto-doors.com, web-site: www.verto-doors.com","e-mail: info@verto-doors.com, web-site: www.verto-doors.com")</f>
        <v>e-mail: info@verto-doors.com, web-site: www.verto-doors.com</v>
      </c>
      <c r="F2" s="337"/>
      <c r="G2" s="337"/>
      <c r="H2" s="337"/>
      <c r="I2" s="337"/>
      <c r="J2" s="337"/>
      <c r="K2" s="337"/>
      <c r="U2" s="104" t="str">
        <f>IF($C$1="ENG","discount","знижка")</f>
        <v>знижка</v>
      </c>
      <c r="W2" s="48">
        <v>0</v>
      </c>
      <c r="AC2" s="127">
        <v>0.2</v>
      </c>
    </row>
    <row r="3" spans="2:46" ht="5.0999999999999996" customHeight="1" x14ac:dyDescent="0.25">
      <c r="E3" s="8"/>
      <c r="H3" s="2"/>
      <c r="J3" s="3"/>
      <c r="K3" s="4"/>
      <c r="V3" s="63"/>
      <c r="AC3" s="128">
        <v>0</v>
      </c>
    </row>
    <row r="4" spans="2:46" ht="12.75" customHeight="1" x14ac:dyDescent="0.25">
      <c r="E4" s="335" t="str">
        <f>IF($C$1="ENG","RETAIL PRICES FOR VERTO PRODUCTS","РОЗДРІБНІ ЦІНИ НА ПРОДУКЦІЮ ТМ VERTO")</f>
        <v>РОЗДРІБНІ ЦІНИ НА ПРОДУКЦІЮ ТМ VERTO</v>
      </c>
      <c r="F4" s="335"/>
      <c r="G4" s="335"/>
      <c r="H4" s="335"/>
      <c r="I4" s="335"/>
      <c r="U4" s="104" t="str">
        <f>IF($C$1="ENG","exchange rate (for 1 UAH)","курс валют (за 1 грн.)")</f>
        <v>курс валют (за 1 грн.)</v>
      </c>
      <c r="W4" s="293">
        <v>1</v>
      </c>
      <c r="AC4" s="126"/>
    </row>
    <row r="5" spans="2:46" x14ac:dyDescent="0.25">
      <c r="C5" s="110"/>
      <c r="D5" s="5"/>
      <c r="E5" s="103" t="str">
        <f>TITLE!D2</f>
        <v>діє з: 16 березня 2026 р.</v>
      </c>
      <c r="F5" s="5"/>
      <c r="G5" s="5"/>
      <c r="U5" s="106" t="str">
        <f>IF($C$1="ENG","VAT","ПДВ")</f>
        <v>ПДВ</v>
      </c>
      <c r="V5" s="107"/>
      <c r="W5" s="292">
        <v>0.2</v>
      </c>
      <c r="AC5" s="126"/>
    </row>
    <row r="6" spans="2:46" ht="5.0999999999999996" customHeight="1" x14ac:dyDescent="0.25">
      <c r="C6" s="110"/>
      <c r="D6" s="5"/>
      <c r="E6" s="5"/>
      <c r="F6" s="5"/>
      <c r="G6" s="5"/>
      <c r="AC6" s="126"/>
    </row>
    <row r="7" spans="2:46" ht="12.75" customHeight="1" x14ac:dyDescent="0.25">
      <c r="B7" s="338"/>
      <c r="C7" s="338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AC7" s="126" t="s">
        <v>48</v>
      </c>
      <c r="AD7" s="126" t="s">
        <v>49</v>
      </c>
      <c r="AE7" s="126" t="s">
        <v>50</v>
      </c>
      <c r="AF7" s="126" t="s">
        <v>51</v>
      </c>
      <c r="AG7" s="126" t="s">
        <v>52</v>
      </c>
      <c r="AH7" s="126" t="s">
        <v>53</v>
      </c>
      <c r="AI7" s="126" t="s">
        <v>54</v>
      </c>
      <c r="AJ7" s="126" t="s">
        <v>55</v>
      </c>
      <c r="AK7" s="126" t="s">
        <v>59</v>
      </c>
      <c r="AL7" s="126" t="s">
        <v>60</v>
      </c>
    </row>
    <row r="8" spans="2:46" ht="24.9" customHeight="1" x14ac:dyDescent="0.25">
      <c r="B8" s="291" t="str">
        <f>IF($C$1="ENG","DOOR LEAFS","ДВЕРНІ ПОЛОТНА")</f>
        <v>ДВЕРНІ ПОЛОТНА</v>
      </c>
      <c r="C8" s="290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AC8" s="126"/>
      <c r="AD8" s="126"/>
      <c r="AE8" s="126"/>
      <c r="AF8" s="126"/>
      <c r="AG8" s="126"/>
      <c r="AH8" s="126"/>
      <c r="AI8" s="126"/>
      <c r="AJ8" s="126"/>
      <c r="AK8" s="126"/>
      <c r="AL8" s="126"/>
    </row>
    <row r="10" spans="2:46" s="8" customFormat="1" ht="24.9" customHeight="1" x14ac:dyDescent="0.25">
      <c r="B10" s="246" t="str">
        <f>TITLE!$C$8</f>
        <v>Полотна каркасно-щитові: STANDARD</v>
      </c>
      <c r="C10" s="244"/>
      <c r="D10" s="245"/>
      <c r="E10" s="245"/>
      <c r="F10" s="216"/>
      <c r="G10" s="216"/>
      <c r="H10" s="216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185"/>
      <c r="AN10" s="123"/>
      <c r="AO10" s="123"/>
      <c r="AP10" s="123"/>
      <c r="AQ10" s="123"/>
      <c r="AR10" s="123"/>
      <c r="AS10" s="123"/>
      <c r="AT10" s="123"/>
    </row>
    <row r="11" spans="2:46" x14ac:dyDescent="0.25">
      <c r="B11" s="186"/>
      <c r="C11" s="187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</row>
    <row r="12" spans="2:46" x14ac:dyDescent="0.25">
      <c r="B12" s="186"/>
      <c r="C12" s="193" t="str">
        <f>IF($C$1="ENG","model:","модель:")</f>
        <v>модель:</v>
      </c>
      <c r="D12" s="186"/>
      <c r="E12" s="196" t="s">
        <v>0</v>
      </c>
      <c r="F12" s="188"/>
      <c r="G12" s="196" t="s">
        <v>2</v>
      </c>
      <c r="H12" s="188"/>
      <c r="I12" s="196" t="s">
        <v>1</v>
      </c>
      <c r="J12" s="188"/>
      <c r="K12" s="196" t="s">
        <v>3</v>
      </c>
      <c r="L12" s="188"/>
      <c r="M12" s="196" t="s">
        <v>14</v>
      </c>
      <c r="N12" s="188"/>
      <c r="O12" s="196" t="s">
        <v>15</v>
      </c>
      <c r="P12" s="186"/>
      <c r="Q12" s="186"/>
      <c r="R12" s="186"/>
      <c r="S12" s="186"/>
      <c r="T12" s="186"/>
      <c r="U12" s="186"/>
      <c r="V12" s="186"/>
      <c r="W12" s="186"/>
      <c r="X12" s="186"/>
    </row>
    <row r="13" spans="2:46" x14ac:dyDescent="0.25">
      <c r="B13" s="186"/>
      <c r="C13" s="187"/>
      <c r="D13" s="186"/>
      <c r="E13" s="197"/>
      <c r="F13" s="186"/>
      <c r="G13" s="197"/>
      <c r="H13" s="186"/>
      <c r="I13" s="197"/>
      <c r="J13" s="186"/>
      <c r="K13" s="197"/>
      <c r="L13" s="186"/>
      <c r="M13" s="197"/>
      <c r="N13" s="186"/>
      <c r="O13" s="197"/>
      <c r="P13" s="186"/>
      <c r="Q13" s="186"/>
      <c r="R13" s="186"/>
      <c r="S13" s="186"/>
      <c r="T13" s="186"/>
      <c r="U13" s="186"/>
      <c r="V13" s="186"/>
      <c r="W13" s="186"/>
      <c r="X13" s="186"/>
    </row>
    <row r="14" spans="2:46" x14ac:dyDescent="0.25">
      <c r="B14" s="186"/>
      <c r="C14" s="187"/>
      <c r="D14" s="186"/>
      <c r="E14" s="197"/>
      <c r="F14" s="186"/>
      <c r="G14" s="197"/>
      <c r="H14" s="186"/>
      <c r="I14" s="197"/>
      <c r="J14" s="186"/>
      <c r="K14" s="197"/>
      <c r="L14" s="186"/>
      <c r="M14" s="197"/>
      <c r="N14" s="186"/>
      <c r="O14" s="197"/>
      <c r="P14" s="186"/>
      <c r="Q14" s="186"/>
      <c r="R14" s="186"/>
      <c r="S14" s="186"/>
      <c r="T14" s="186"/>
      <c r="U14" s="186"/>
      <c r="V14" s="186"/>
      <c r="W14" s="186"/>
      <c r="X14" s="186"/>
    </row>
    <row r="15" spans="2:46" x14ac:dyDescent="0.25">
      <c r="B15" s="186"/>
      <c r="C15" s="187"/>
      <c r="D15" s="186"/>
      <c r="E15" s="197"/>
      <c r="F15" s="186"/>
      <c r="G15" s="197"/>
      <c r="H15" s="186"/>
      <c r="I15" s="197"/>
      <c r="J15" s="186"/>
      <c r="K15" s="197"/>
      <c r="L15" s="186"/>
      <c r="M15" s="197"/>
      <c r="N15" s="186"/>
      <c r="O15" s="197"/>
      <c r="P15" s="186"/>
      <c r="Q15" s="186"/>
      <c r="R15" s="186"/>
      <c r="S15" s="186"/>
      <c r="T15" s="186"/>
      <c r="U15" s="186"/>
      <c r="V15" s="186"/>
      <c r="W15" s="186"/>
      <c r="X15" s="186"/>
    </row>
    <row r="16" spans="2:46" x14ac:dyDescent="0.25">
      <c r="B16" s="186"/>
      <c r="C16" s="187"/>
      <c r="D16" s="186"/>
      <c r="E16" s="197"/>
      <c r="F16" s="186"/>
      <c r="G16" s="197"/>
      <c r="H16" s="186"/>
      <c r="I16" s="197"/>
      <c r="J16" s="186"/>
      <c r="K16" s="197"/>
      <c r="L16" s="186"/>
      <c r="M16" s="197"/>
      <c r="N16" s="186"/>
      <c r="O16" s="197"/>
      <c r="P16" s="186"/>
      <c r="Q16" s="186"/>
      <c r="R16" s="186"/>
      <c r="S16" s="186"/>
      <c r="T16" s="186"/>
      <c r="U16" s="186"/>
      <c r="V16" s="186"/>
      <c r="W16" s="186"/>
      <c r="X16" s="186"/>
    </row>
    <row r="17" spans="2:46" x14ac:dyDescent="0.25">
      <c r="B17" s="186"/>
      <c r="C17" s="187"/>
      <c r="D17" s="186"/>
      <c r="E17" s="197"/>
      <c r="F17" s="186"/>
      <c r="G17" s="197"/>
      <c r="H17" s="186"/>
      <c r="I17" s="197"/>
      <c r="J17" s="186"/>
      <c r="K17" s="197"/>
      <c r="L17" s="186"/>
      <c r="M17" s="197"/>
      <c r="N17" s="186"/>
      <c r="O17" s="197"/>
      <c r="P17" s="186"/>
      <c r="Q17" s="186"/>
      <c r="R17" s="186"/>
      <c r="S17" s="186"/>
      <c r="T17" s="186"/>
      <c r="U17" s="186"/>
      <c r="V17" s="186"/>
      <c r="W17" s="186"/>
      <c r="X17" s="186"/>
    </row>
    <row r="18" spans="2:46" x14ac:dyDescent="0.25">
      <c r="B18" s="186"/>
      <c r="C18" s="187"/>
      <c r="D18" s="186"/>
      <c r="E18" s="197"/>
      <c r="F18" s="186"/>
      <c r="G18" s="197"/>
      <c r="H18" s="186"/>
      <c r="I18" s="197"/>
      <c r="J18" s="186"/>
      <c r="K18" s="197"/>
      <c r="L18" s="186"/>
      <c r="M18" s="197"/>
      <c r="N18" s="186"/>
      <c r="O18" s="197"/>
      <c r="P18" s="186"/>
      <c r="Q18" s="186"/>
      <c r="R18" s="186"/>
      <c r="S18" s="186"/>
      <c r="T18" s="186"/>
      <c r="U18" s="186"/>
      <c r="V18" s="186"/>
      <c r="W18" s="186"/>
      <c r="X18" s="186"/>
    </row>
    <row r="19" spans="2:46" x14ac:dyDescent="0.25">
      <c r="B19" s="186"/>
      <c r="C19" s="187"/>
      <c r="D19" s="186"/>
      <c r="E19" s="197"/>
      <c r="F19" s="186"/>
      <c r="G19" s="197"/>
      <c r="H19" s="186"/>
      <c r="I19" s="197"/>
      <c r="J19" s="186"/>
      <c r="K19" s="197"/>
      <c r="L19" s="186"/>
      <c r="M19" s="197"/>
      <c r="N19" s="186"/>
      <c r="O19" s="197"/>
      <c r="P19" s="186"/>
      <c r="Q19" s="186"/>
      <c r="R19" s="186"/>
      <c r="S19" s="186"/>
      <c r="T19" s="186"/>
      <c r="U19" s="186"/>
      <c r="V19" s="186"/>
      <c r="W19" s="186"/>
      <c r="X19" s="186"/>
    </row>
    <row r="20" spans="2:46" x14ac:dyDescent="0.25">
      <c r="B20" s="186"/>
      <c r="C20" s="1"/>
      <c r="D20" s="186"/>
      <c r="E20" s="197"/>
      <c r="F20" s="186"/>
      <c r="G20" s="197"/>
      <c r="H20" s="186"/>
      <c r="I20" s="197"/>
      <c r="J20" s="186"/>
      <c r="K20" s="197"/>
      <c r="L20" s="186"/>
      <c r="M20" s="197"/>
      <c r="N20" s="186"/>
      <c r="O20" s="197"/>
      <c r="P20" s="186"/>
      <c r="Q20" s="186"/>
      <c r="R20" s="186"/>
      <c r="S20" s="186"/>
      <c r="T20" s="186"/>
      <c r="U20" s="186"/>
      <c r="V20" s="186"/>
      <c r="W20" s="186"/>
      <c r="X20" s="186"/>
    </row>
    <row r="21" spans="2:46" x14ac:dyDescent="0.25">
      <c r="B21" s="186"/>
      <c r="C21" s="187" t="str">
        <f>IF($C$1="ENG","filling:","заповнення:")</f>
        <v>заповнення:</v>
      </c>
      <c r="D21" s="186"/>
      <c r="E21" s="198" t="str">
        <f>IF($C$1="ENG","honeycomb","сотове заповн.")</f>
        <v>сотове заповн.</v>
      </c>
      <c r="F21" s="189"/>
      <c r="G21" s="198" t="str">
        <f>IF($C$1="ENG","honeycomb","сотове заповн.")</f>
        <v>сотове заповн.</v>
      </c>
      <c r="H21" s="189"/>
      <c r="I21" s="198" t="str">
        <f>IF($C$1="ENG","honeycomb","сотове заповн.")</f>
        <v>сотове заповн.</v>
      </c>
      <c r="J21" s="189"/>
      <c r="K21" s="198" t="str">
        <f>IF($C$1="ENG","honeycomb","сотове заповн.")</f>
        <v>сотове заповн.</v>
      </c>
      <c r="L21" s="189"/>
      <c r="M21" s="198" t="str">
        <f>IF($C$1="ENG","honeycomb","сотове заповн.")</f>
        <v>сотове заповн.</v>
      </c>
      <c r="N21" s="189"/>
      <c r="O21" s="198" t="str">
        <f>IF($C$1="ENG","honeycomb","сотове заповн.")</f>
        <v>сотове заповн.</v>
      </c>
      <c r="P21" s="186"/>
      <c r="Q21" s="186"/>
      <c r="R21" s="186"/>
      <c r="S21" s="186"/>
      <c r="T21" s="186"/>
      <c r="U21" s="186"/>
      <c r="V21" s="186"/>
      <c r="W21" s="186"/>
      <c r="X21" s="186"/>
    </row>
    <row r="22" spans="2:46" x14ac:dyDescent="0.25">
      <c r="B22" s="186"/>
      <c r="C22" s="187" t="str">
        <f>IF($C$1="ENG","glazing:","скління:")</f>
        <v>скління:</v>
      </c>
      <c r="D22" s="186"/>
      <c r="E22" s="198" t="str">
        <f>IF($C$1="ENG","Satin","Сатин")</f>
        <v>Сатин</v>
      </c>
      <c r="F22" s="189"/>
      <c r="G22" s="198" t="str">
        <f>IF($C$1="ENG","Satin","Сатин")</f>
        <v>Сатин</v>
      </c>
      <c r="H22" s="189"/>
      <c r="I22" s="198" t="str">
        <f>IF($C$1="ENG","Satin","Сатин")</f>
        <v>Сатин</v>
      </c>
      <c r="J22" s="189"/>
      <c r="K22" s="198" t="str">
        <f>IF($C$1="ENG","Satin","Сатин")</f>
        <v>Сатин</v>
      </c>
      <c r="L22" s="189"/>
      <c r="M22" s="198" t="str">
        <f>IF($C$1="ENG","Satin","Сатин")</f>
        <v>Сатин</v>
      </c>
      <c r="N22" s="189"/>
      <c r="O22" s="198" t="str">
        <f>IF($C$1="ENG","Satin","Сатин")</f>
        <v>Сатин</v>
      </c>
      <c r="P22" s="186"/>
      <c r="Q22" s="186"/>
      <c r="R22" s="186"/>
      <c r="S22" s="186"/>
      <c r="T22" s="186"/>
      <c r="U22" s="186"/>
      <c r="V22" s="186"/>
      <c r="W22" s="186"/>
      <c r="X22" s="186"/>
    </row>
    <row r="23" spans="2:46" x14ac:dyDescent="0.25">
      <c r="D23" s="199"/>
      <c r="E23" s="197"/>
      <c r="F23" s="200"/>
      <c r="G23" s="197"/>
      <c r="H23" s="200"/>
      <c r="I23" s="197"/>
      <c r="J23" s="200"/>
      <c r="K23" s="197"/>
      <c r="L23" s="200"/>
      <c r="M23" s="197"/>
      <c r="N23" s="200"/>
      <c r="O23" s="197"/>
      <c r="P23" s="200"/>
      <c r="Q23" s="200"/>
      <c r="R23" s="200"/>
      <c r="S23" s="200"/>
      <c r="T23" s="200"/>
      <c r="U23" s="200"/>
      <c r="V23" s="200"/>
      <c r="W23" s="200"/>
      <c r="X23" s="186"/>
    </row>
    <row r="24" spans="2:46" s="190" customFormat="1" ht="15" customHeight="1" x14ac:dyDescent="0.25">
      <c r="B24" s="241" t="str">
        <f>IF($C$1="ENG","PRICE","ЦІНА")</f>
        <v>ЦІНА</v>
      </c>
      <c r="C24" s="242" t="str">
        <f>IF($C$1="ENG",IF($W$5=0.2,"with VAT","no VAT"),IF($W$5=0.2,"з ПДВ","без ПДВ"))</f>
        <v>з ПДВ</v>
      </c>
      <c r="D24" s="191"/>
      <c r="E24" s="243"/>
      <c r="F24" s="191"/>
      <c r="G24" s="243"/>
      <c r="H24" s="191"/>
      <c r="I24" s="243"/>
      <c r="J24" s="191"/>
      <c r="K24" s="243"/>
      <c r="L24" s="191"/>
      <c r="M24" s="243"/>
      <c r="N24" s="191"/>
      <c r="O24" s="243"/>
      <c r="P24" s="191"/>
      <c r="Q24" s="191"/>
      <c r="R24" s="191"/>
      <c r="S24" s="191"/>
      <c r="T24" s="191"/>
      <c r="U24" s="191"/>
      <c r="V24" s="191"/>
      <c r="W24" s="191"/>
      <c r="X24" s="191"/>
      <c r="AN24" s="192"/>
      <c r="AO24" s="192"/>
      <c r="AP24" s="192"/>
      <c r="AQ24" s="192"/>
      <c r="AR24" s="192"/>
      <c r="AS24" s="192"/>
      <c r="AT24" s="192"/>
    </row>
    <row r="25" spans="2:46" s="190" customFormat="1" ht="24.9" customHeight="1" x14ac:dyDescent="0.25">
      <c r="B25" s="201" t="str">
        <f>IF($C$1="ENG","Cover:","Покриття:")</f>
        <v>Покриття:</v>
      </c>
      <c r="C25" s="202" t="str">
        <f>IF($C$1="ENG","SIMPLEX / Verto-CELL","SIMPLEX / Verto-CELL")</f>
        <v>SIMPLEX / Verto-CELL</v>
      </c>
      <c r="D25" s="203">
        <f>IF(AC25="","",(1-$W$2)*(AC25/1.2))</f>
        <v>5183.3333333333339</v>
      </c>
      <c r="E25" s="204">
        <f>IF($W$5=0.2,D25*1.2,D25)/$W$4</f>
        <v>6220.0000000000009</v>
      </c>
      <c r="F25" s="203">
        <f>IF(AD25="","",(1-$W$2)*(AD25/1.2))</f>
        <v>5458.3333333333339</v>
      </c>
      <c r="G25" s="204">
        <f>IF($W$5=0.2,F25*1.2,F25)/$W$4</f>
        <v>6550.0000000000009</v>
      </c>
      <c r="H25" s="203">
        <f>IF(AE25="","",(1-$W$2)*(AE25/1.2))</f>
        <v>5250</v>
      </c>
      <c r="I25" s="204">
        <f>IF($W$5=0.2,H25*1.2,H25)/$W$4</f>
        <v>6300</v>
      </c>
      <c r="J25" s="203">
        <f>IF(AF25="","",(1-$W$2)*(AF25/1.2))</f>
        <v>5533.3333333333339</v>
      </c>
      <c r="K25" s="204">
        <f>IF($W$5=0.2,J25*1.2,J25)/$W$4</f>
        <v>6640.0000000000009</v>
      </c>
      <c r="L25" s="203">
        <f>IF(AG25="","",(1-$W$2)*(AG25/1.2))</f>
        <v>4958.3333333333339</v>
      </c>
      <c r="M25" s="204">
        <f>IF($W$5=0.2,L25*1.2,L25)/$W$4</f>
        <v>5950.0000000000009</v>
      </c>
      <c r="N25" s="203">
        <f>IF(AH25="","",(1-$W$2)*(AH25/1.2))</f>
        <v>4958.3333333333339</v>
      </c>
      <c r="O25" s="204">
        <f>IF($W$5=0.2,N25*1.2,N25)/$W$4</f>
        <v>5950.0000000000009</v>
      </c>
      <c r="P25" s="203"/>
      <c r="Q25" s="205"/>
      <c r="R25" s="203"/>
      <c r="S25" s="205"/>
      <c r="T25" s="203"/>
      <c r="U25" s="205"/>
      <c r="V25" s="203"/>
      <c r="W25" s="205"/>
      <c r="X25" s="191"/>
      <c r="AB25" s="195" t="str">
        <f>C25</f>
        <v>SIMPLEX / Verto-CELL</v>
      </c>
      <c r="AC25" s="219">
        <v>6220</v>
      </c>
      <c r="AD25" s="219">
        <v>6550</v>
      </c>
      <c r="AE25" s="219">
        <v>6300</v>
      </c>
      <c r="AF25" s="219">
        <v>6640</v>
      </c>
      <c r="AG25" s="219">
        <v>5950</v>
      </c>
      <c r="AH25" s="219">
        <v>5950</v>
      </c>
      <c r="AN25" s="192"/>
      <c r="AO25" s="192"/>
      <c r="AP25" s="192"/>
      <c r="AQ25" s="192"/>
      <c r="AR25" s="192"/>
      <c r="AS25" s="192"/>
      <c r="AT25" s="192"/>
    </row>
    <row r="26" spans="2:46" s="190" customFormat="1" ht="24.9" customHeight="1" x14ac:dyDescent="0.25">
      <c r="B26" s="206"/>
      <c r="C26" s="207" t="str">
        <f>IF($C$1="ENG","UNI-MAT","UNI-MAT")</f>
        <v>UNI-MAT</v>
      </c>
      <c r="D26" s="208">
        <f>IF(AC26="","",(1-$W$2)*(AC26/1.2))</f>
        <v>5866.666666666667</v>
      </c>
      <c r="E26" s="209">
        <f>IF($W$5=0.2,D26*1.2,D26)/$W$4</f>
        <v>7040</v>
      </c>
      <c r="F26" s="208">
        <f>IF(AD26="","",(1-$W$2)*(AD26/1.2))</f>
        <v>6208.3333333333339</v>
      </c>
      <c r="G26" s="209">
        <f>IF($W$5=0.2,F26*1.2,F26)/$W$4</f>
        <v>7450</v>
      </c>
      <c r="H26" s="208">
        <f>IF(AE26="","",(1-$W$2)*(AE26/1.2))</f>
        <v>5941.666666666667</v>
      </c>
      <c r="I26" s="209">
        <f>IF($W$5=0.2,H26*1.2,H26)/$W$4</f>
        <v>7130</v>
      </c>
      <c r="J26" s="208">
        <f>IF(AF26="","",(1-$W$2)*(AF26/1.2))</f>
        <v>6291.666666666667</v>
      </c>
      <c r="K26" s="209">
        <f>IF($W$5=0.2,J26*1.2,J26)/$W$4</f>
        <v>7550</v>
      </c>
      <c r="L26" s="208">
        <f>IF(AG26="","",(1-$W$2)*(AG26/1.2))</f>
        <v>5625</v>
      </c>
      <c r="M26" s="209">
        <f>IF($W$5=0.2,L26*1.2,L26)/$W$4</f>
        <v>6750</v>
      </c>
      <c r="N26" s="208">
        <f>IF(AH26="","",(1-$W$2)*(AH26/1.2))</f>
        <v>5625</v>
      </c>
      <c r="O26" s="209">
        <f>IF($W$5=0.2,N26*1.2,N26)/$W$4</f>
        <v>6750</v>
      </c>
      <c r="P26" s="208"/>
      <c r="Q26" s="210"/>
      <c r="R26" s="208"/>
      <c r="S26" s="210"/>
      <c r="T26" s="208"/>
      <c r="U26" s="210"/>
      <c r="V26" s="208"/>
      <c r="W26" s="210"/>
      <c r="X26" s="191"/>
      <c r="AB26" s="195" t="str">
        <f>C26</f>
        <v>UNI-MAT</v>
      </c>
      <c r="AC26" s="219">
        <v>7040</v>
      </c>
      <c r="AD26" s="219">
        <v>7450</v>
      </c>
      <c r="AE26" s="219">
        <v>7130</v>
      </c>
      <c r="AF26" s="219">
        <v>7550</v>
      </c>
      <c r="AG26" s="219">
        <v>6750</v>
      </c>
      <c r="AH26" s="219">
        <v>6750</v>
      </c>
      <c r="AN26" s="192"/>
      <c r="AO26" s="192"/>
      <c r="AP26" s="192"/>
      <c r="AQ26" s="192"/>
      <c r="AR26" s="192"/>
      <c r="AS26" s="192"/>
      <c r="AT26" s="192"/>
    </row>
    <row r="27" spans="2:46" x14ac:dyDescent="0.25">
      <c r="B27" s="187"/>
      <c r="C27" s="1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</row>
    <row r="28" spans="2:46" x14ac:dyDescent="0.25">
      <c r="B28" s="211" t="str">
        <f>IF($C$1="ENG","For additonal charge:","Послуги за додаткову плату:")</f>
        <v>Послуги за додаткову плату:</v>
      </c>
      <c r="C28" s="212"/>
      <c r="D28" s="213"/>
      <c r="E28" s="214" t="str">
        <f>CONCATENATE(B24," ",C24)</f>
        <v>ЦІНА з ПДВ</v>
      </c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186"/>
    </row>
    <row r="29" spans="2:46" x14ac:dyDescent="0.25">
      <c r="B29" s="187"/>
      <c r="C29" s="1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</row>
    <row r="30" spans="2:46" ht="15" customHeight="1" x14ac:dyDescent="0.25">
      <c r="B30" s="224"/>
      <c r="C30" s="223" t="str">
        <f>IF($C$1="ENG","Ventilation sleeves (1 row)","вентиляційні віддушини (1ряд)")</f>
        <v>вентиляційні віддушини (1ряд)</v>
      </c>
      <c r="D30" s="236">
        <f>IF(AC30="","",(1-$W$2)*(AC30/1.2))</f>
        <v>241.66666666666669</v>
      </c>
      <c r="E30" s="227">
        <f>IF($W$5=0.2,D30*1.2,D30)/$W$4</f>
        <v>290</v>
      </c>
      <c r="F30" s="191"/>
      <c r="G30" s="229"/>
      <c r="H30" s="224"/>
      <c r="I30" s="223" t="str">
        <f>IF($C$1="ENG","door lock Soft","замок Soft")</f>
        <v>замок Soft</v>
      </c>
      <c r="J30" s="238">
        <f>IF(AF30="","",(1-$W$2)*(AF30/1.2))</f>
        <v>525</v>
      </c>
      <c r="K30" s="227">
        <f>IF($W$5=0.2,J30*1.2,J30)/$W$4</f>
        <v>630</v>
      </c>
      <c r="L30" s="191"/>
      <c r="M30" s="229"/>
      <c r="N30" s="224"/>
      <c r="O30" s="223" t="str">
        <f>IF($C$1="ENG","cylinder incert","циліндр несиметричний")</f>
        <v>циліндр несиметричний</v>
      </c>
      <c r="P30" s="236">
        <f>IF(AI30="","",(1-$W$2)*(AI30/1.2))</f>
        <v>375</v>
      </c>
      <c r="Q30" s="227">
        <f>IF($W$5=0.2,P30*1.2,P30)/$W$4</f>
        <v>450</v>
      </c>
      <c r="R30" s="186"/>
      <c r="S30" s="186"/>
      <c r="T30" s="186"/>
      <c r="U30" s="186"/>
      <c r="V30" s="186"/>
      <c r="W30" s="186"/>
      <c r="X30" s="186"/>
      <c r="AC30" s="218">
        <v>290</v>
      </c>
      <c r="AF30" s="218">
        <v>630</v>
      </c>
      <c r="AI30" s="218">
        <v>450</v>
      </c>
    </row>
    <row r="31" spans="2:46" ht="15" customHeight="1" x14ac:dyDescent="0.25">
      <c r="B31" s="225"/>
      <c r="C31" s="222" t="str">
        <f>IF($C$1="ENG","Ventilation cut","вентиляційний підріз")</f>
        <v>вентиляційний підріз</v>
      </c>
      <c r="D31" s="237">
        <f>IF(AC31="","",(1-$W$2)*(AC31/1.2))</f>
        <v>162.5</v>
      </c>
      <c r="E31" s="228">
        <f>IF($W$5=0.2,D31*1.2,D31)/$W$4</f>
        <v>195</v>
      </c>
      <c r="F31" s="191"/>
      <c r="G31" s="230"/>
      <c r="H31" s="225"/>
      <c r="I31" s="222" t="str">
        <f>IF($C$1="ENG","door lock Soft black","замок Soft чорн.")</f>
        <v>замок Soft чорн.</v>
      </c>
      <c r="J31" s="239">
        <f>IF(AF31="","",(1-$W$2)*(AF31/1.2))</f>
        <v>650</v>
      </c>
      <c r="K31" s="228">
        <f>IF($W$5=0.2,J31*1.2,J31)/$W$4</f>
        <v>780</v>
      </c>
      <c r="L31" s="191"/>
      <c r="M31" s="230"/>
      <c r="N31" s="225"/>
      <c r="O31" s="222" t="str">
        <f>IF($C$1="ENG","door hindge Prestige (1 unit)","завіса Prestige (1 шт)")</f>
        <v>завіса Prestige (1 шт)</v>
      </c>
      <c r="P31" s="240">
        <f>IF(AI31="","",(1-$W$2)*(AI31/1.2))</f>
        <v>250</v>
      </c>
      <c r="Q31" s="228">
        <f>IF($W$5=0.2,P31*1.2,P31)/$W$4</f>
        <v>300</v>
      </c>
      <c r="R31" s="186"/>
      <c r="S31" s="186"/>
      <c r="T31" s="186"/>
      <c r="U31" s="186"/>
      <c r="V31" s="186"/>
      <c r="W31" s="186"/>
      <c r="X31" s="186"/>
      <c r="AC31" s="218">
        <v>195</v>
      </c>
      <c r="AF31" s="218">
        <v>780</v>
      </c>
      <c r="AI31" s="218">
        <v>300</v>
      </c>
    </row>
    <row r="32" spans="2:46" ht="15" customHeight="1" x14ac:dyDescent="0.25">
      <c r="B32" s="225"/>
      <c r="C32" s="222" t="str">
        <f>IF($C$1="ENG","third door hindge","третя завіса")</f>
        <v>третя завіса</v>
      </c>
      <c r="D32" s="237">
        <f>IF(AC32="","",(1-$W$2)*(AC32/1.2))</f>
        <v>75</v>
      </c>
      <c r="E32" s="228">
        <f>IF($W$5=0.2,D32*1.2,D32)/$W$4</f>
        <v>90</v>
      </c>
      <c r="F32" s="191"/>
      <c r="G32" s="230"/>
      <c r="H32" s="225"/>
      <c r="I32" s="222" t="str">
        <f>IF($C$1="ENG","door lock Magnet","замок Magnet")</f>
        <v>замок Magnet</v>
      </c>
      <c r="J32" s="239">
        <f>IF(AF32="","",(1-$W$2)*(AF32/1.2))</f>
        <v>766.66666666666663</v>
      </c>
      <c r="K32" s="228">
        <f>IF($W$5=0.2,J32*1.2,J32)/$W$4</f>
        <v>919.99999999999989</v>
      </c>
      <c r="L32" s="191"/>
      <c r="M32" s="230"/>
      <c r="N32" s="225"/>
      <c r="O32" s="222" t="str">
        <f>IF($C$1="ENG","door hinge caps (1 set)","накладка на завіси (1 к-т)")</f>
        <v>накладка на завіси (1 к-т)</v>
      </c>
      <c r="P32" s="240">
        <f>IF(AI32="","",(1-$W$2)*(AI32/1.2))</f>
        <v>75</v>
      </c>
      <c r="Q32" s="228">
        <f>IF($W$5=0.2,P32*1.2,P32)/$W$4</f>
        <v>90</v>
      </c>
      <c r="R32" s="186"/>
      <c r="S32" s="186"/>
      <c r="T32" s="186"/>
      <c r="U32" s="186"/>
      <c r="V32" s="186"/>
      <c r="W32" s="186"/>
      <c r="X32" s="186"/>
      <c r="AC32" s="218">
        <v>90</v>
      </c>
      <c r="AF32" s="218">
        <v>919.99999999999989</v>
      </c>
      <c r="AI32" s="218">
        <v>90</v>
      </c>
    </row>
    <row r="33" spans="2:46" s="8" customFormat="1" ht="15" customHeight="1" x14ac:dyDescent="0.25">
      <c r="B33" s="226"/>
      <c r="C33" s="222" t="str">
        <f>IF($C$1="ENG","glazing Graphite / Bronze","скло Графіт / Бронза")</f>
        <v>скло Графіт / Бронза</v>
      </c>
      <c r="D33" s="237">
        <f>IF(AC33="","",(1-$W$2)*(AC33/1.2))</f>
        <v>525</v>
      </c>
      <c r="E33" s="228">
        <f>IF($W$5=0.2,D33*1.2,D33)/$W$4</f>
        <v>630</v>
      </c>
      <c r="F33" s="184"/>
      <c r="G33" s="231"/>
      <c r="H33" s="226"/>
      <c r="I33" s="222" t="str">
        <f>IF($C$1="ENG","door lock Magnet black","замок Magnet чорн.")</f>
        <v>замок Magnet чорн.</v>
      </c>
      <c r="J33" s="239">
        <f>IF(AF33="","",(1-$W$2)*(AF33/1.2))</f>
        <v>958.33333333333337</v>
      </c>
      <c r="K33" s="228">
        <f>IF($W$5=0.2,J33*1.2,J33)/$W$4</f>
        <v>1150</v>
      </c>
      <c r="L33" s="220"/>
      <c r="M33" s="233"/>
      <c r="N33" s="226"/>
      <c r="O33" s="222" t="str">
        <f>IF($C$1="ENG","door handle","дверна ручка")</f>
        <v>дверна ручка</v>
      </c>
      <c r="P33" s="237" t="str">
        <f>IF(AI33="","",(1-$W$2)*(AI33/1.2))</f>
        <v/>
      </c>
      <c r="Q33" s="235" t="str">
        <f>IF($C$1="ENG","see Handles Price","див. Таблицю Ручки")</f>
        <v>див. Таблицю Ручки</v>
      </c>
      <c r="AC33" s="218">
        <v>630</v>
      </c>
      <c r="AD33" s="1"/>
      <c r="AE33" s="1"/>
      <c r="AF33" s="218">
        <v>1150</v>
      </c>
      <c r="AG33" s="1"/>
      <c r="AH33" s="1"/>
      <c r="AI33" s="218"/>
      <c r="AN33" s="123"/>
      <c r="AO33" s="123"/>
      <c r="AP33" s="123"/>
      <c r="AQ33" s="123"/>
      <c r="AR33" s="123"/>
      <c r="AS33" s="123"/>
      <c r="AT33" s="123"/>
    </row>
    <row r="34" spans="2:46" ht="15" customHeight="1" x14ac:dyDescent="0.25">
      <c r="C34" s="1"/>
      <c r="F34" s="221"/>
      <c r="G34" s="232"/>
      <c r="H34" s="225"/>
      <c r="I34" s="222" t="str">
        <f>IF($C$1="ENG","door handle-lock (for sliding doors)","ручка-замок (для дверей купе)")</f>
        <v>ручка-замок (для дверей купе)</v>
      </c>
      <c r="J34" s="237">
        <f>IF(AF34="","",(1-$W$2)*(AF34/1.2))</f>
        <v>533.33333333333337</v>
      </c>
      <c r="K34" s="228">
        <f>IF($W$5=0.2,J34*1.2,J34)/$W$4</f>
        <v>640</v>
      </c>
      <c r="L34" s="190"/>
      <c r="M34" s="234"/>
      <c r="N34" s="234"/>
      <c r="O34" s="222" t="str">
        <f>IF($C$1="ENG","perforated chipboard","ДСП трубчасте")</f>
        <v>ДСП трубчасте</v>
      </c>
      <c r="P34" s="237">
        <f>IF(AI34="","",(1-$W$2)*(AI34/1.2))</f>
        <v>1250</v>
      </c>
      <c r="Q34" s="228">
        <f>IF($W$5=0.2,P34*1.2,P34)/$W$4</f>
        <v>1500</v>
      </c>
      <c r="AF34" s="218">
        <v>640</v>
      </c>
      <c r="AI34" s="218">
        <v>1500</v>
      </c>
      <c r="AN34" s="1"/>
    </row>
    <row r="35" spans="2:46" x14ac:dyDescent="0.25">
      <c r="C35" s="1"/>
      <c r="F35" s="21"/>
      <c r="G35" s="21"/>
      <c r="H35" s="10"/>
      <c r="I35" s="33"/>
      <c r="J35" s="33"/>
      <c r="K35" s="33"/>
      <c r="S35" s="132"/>
      <c r="T35" s="183"/>
      <c r="U35" s="183"/>
      <c r="V35" s="183"/>
      <c r="W35" s="183"/>
    </row>
    <row r="36" spans="2:46" x14ac:dyDescent="0.25">
      <c r="B36" s="22"/>
      <c r="C36" s="110"/>
      <c r="D36" s="28"/>
      <c r="E36" s="21"/>
      <c r="F36" s="21"/>
      <c r="G36" s="21"/>
      <c r="H36" s="10"/>
      <c r="I36" s="8"/>
    </row>
    <row r="37" spans="2:46" x14ac:dyDescent="0.25">
      <c r="C37" s="1"/>
      <c r="F37" s="21"/>
      <c r="G37" s="21"/>
      <c r="I37" s="39"/>
      <c r="J37" s="23"/>
    </row>
    <row r="38" spans="2:46" x14ac:dyDescent="0.25">
      <c r="C38" s="110"/>
      <c r="D38" s="21"/>
      <c r="E38" s="21"/>
      <c r="F38" s="21"/>
      <c r="G38" s="21"/>
      <c r="H38" s="10"/>
      <c r="I38" s="8"/>
    </row>
    <row r="39" spans="2:46" s="8" customFormat="1" ht="24.9" customHeight="1" x14ac:dyDescent="0.25">
      <c r="B39" s="246" t="str">
        <f>TITLE!$C$9</f>
        <v>Полотна каркасно-щитові: KUPAVA</v>
      </c>
      <c r="C39" s="244"/>
      <c r="D39" s="245"/>
      <c r="E39" s="245"/>
      <c r="F39" s="216"/>
      <c r="G39" s="216"/>
      <c r="H39" s="216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185"/>
      <c r="AN39" s="123"/>
      <c r="AO39" s="123"/>
      <c r="AP39" s="123"/>
      <c r="AQ39" s="123"/>
      <c r="AR39" s="123"/>
      <c r="AS39" s="123"/>
      <c r="AT39" s="123"/>
    </row>
    <row r="40" spans="2:46" s="8" customFormat="1" x14ac:dyDescent="0.25">
      <c r="B40" s="83"/>
      <c r="C40" s="162"/>
      <c r="D40" s="247"/>
      <c r="E40" s="247"/>
      <c r="F40" s="10"/>
      <c r="G40" s="10"/>
      <c r="H40" s="10"/>
      <c r="T40" s="82"/>
      <c r="U40" s="82"/>
      <c r="V40" s="82"/>
      <c r="W40" s="82"/>
      <c r="AN40" s="123"/>
      <c r="AO40" s="123"/>
      <c r="AP40" s="123"/>
      <c r="AQ40" s="123"/>
      <c r="AR40" s="123"/>
      <c r="AS40" s="123"/>
      <c r="AT40" s="123"/>
    </row>
    <row r="41" spans="2:46" x14ac:dyDescent="0.25">
      <c r="B41" s="186"/>
      <c r="C41" s="193" t="str">
        <f>IF($C$1="ENG","model:","модель:")</f>
        <v>модель:</v>
      </c>
      <c r="D41" s="186"/>
      <c r="E41" s="196" t="s">
        <v>14</v>
      </c>
      <c r="F41" s="188"/>
      <c r="G41" s="196" t="s">
        <v>17</v>
      </c>
      <c r="H41" s="188"/>
      <c r="I41" s="248"/>
      <c r="J41" s="248"/>
      <c r="K41" s="248"/>
      <c r="L41" s="248"/>
      <c r="M41" s="248"/>
      <c r="N41" s="248"/>
      <c r="O41" s="248"/>
      <c r="P41" s="200"/>
      <c r="Q41" s="200"/>
      <c r="R41" s="186"/>
      <c r="S41" s="186"/>
      <c r="T41" s="186"/>
      <c r="U41" s="186"/>
      <c r="V41" s="186"/>
      <c r="W41" s="186"/>
      <c r="X41" s="186"/>
    </row>
    <row r="42" spans="2:46" x14ac:dyDescent="0.25">
      <c r="B42" s="186"/>
      <c r="C42" s="187"/>
      <c r="D42" s="186"/>
      <c r="E42" s="197"/>
      <c r="F42" s="186"/>
      <c r="G42" s="197"/>
      <c r="H42" s="186"/>
      <c r="I42" s="200"/>
      <c r="J42" s="200"/>
      <c r="K42" s="200"/>
      <c r="L42" s="200"/>
      <c r="M42" s="200"/>
      <c r="N42" s="200"/>
      <c r="O42" s="200"/>
      <c r="P42" s="200"/>
      <c r="Q42" s="200"/>
      <c r="R42" s="186"/>
      <c r="S42" s="186"/>
      <c r="T42" s="186"/>
      <c r="U42" s="186"/>
      <c r="V42" s="186"/>
      <c r="W42" s="186"/>
      <c r="X42" s="186"/>
    </row>
    <row r="43" spans="2:46" x14ac:dyDescent="0.25">
      <c r="B43" s="186"/>
      <c r="C43" s="187"/>
      <c r="D43" s="186"/>
      <c r="E43" s="197"/>
      <c r="F43" s="186"/>
      <c r="G43" s="197"/>
      <c r="H43" s="186"/>
      <c r="I43" s="200"/>
      <c r="J43" s="200"/>
      <c r="K43" s="200"/>
      <c r="L43" s="200"/>
      <c r="M43" s="200"/>
      <c r="N43" s="200"/>
      <c r="O43" s="200"/>
      <c r="P43" s="200"/>
      <c r="Q43" s="200"/>
      <c r="R43" s="186"/>
      <c r="S43" s="186"/>
      <c r="T43" s="186"/>
      <c r="U43" s="186"/>
      <c r="V43" s="186"/>
      <c r="W43" s="186"/>
      <c r="X43" s="186"/>
    </row>
    <row r="44" spans="2:46" x14ac:dyDescent="0.25">
      <c r="B44" s="186"/>
      <c r="C44" s="187"/>
      <c r="D44" s="186"/>
      <c r="E44" s="197"/>
      <c r="F44" s="186"/>
      <c r="G44" s="197"/>
      <c r="H44" s="186"/>
      <c r="I44" s="200"/>
      <c r="J44" s="200"/>
      <c r="K44" s="200"/>
      <c r="L44" s="200"/>
      <c r="M44" s="200"/>
      <c r="N44" s="200"/>
      <c r="O44" s="200"/>
      <c r="P44" s="200"/>
      <c r="Q44" s="200"/>
      <c r="R44" s="186"/>
      <c r="S44" s="186"/>
      <c r="T44" s="186"/>
      <c r="U44" s="186"/>
      <c r="V44" s="186"/>
      <c r="W44" s="186"/>
      <c r="X44" s="186"/>
    </row>
    <row r="45" spans="2:46" x14ac:dyDescent="0.25">
      <c r="B45" s="186"/>
      <c r="C45" s="187"/>
      <c r="D45" s="186"/>
      <c r="E45" s="197"/>
      <c r="F45" s="186"/>
      <c r="G45" s="197"/>
      <c r="H45" s="186"/>
      <c r="I45" s="200"/>
      <c r="J45" s="200"/>
      <c r="K45" s="200"/>
      <c r="L45" s="200"/>
      <c r="M45" s="200"/>
      <c r="N45" s="200"/>
      <c r="O45" s="200"/>
      <c r="P45" s="200"/>
      <c r="Q45" s="200"/>
      <c r="R45" s="186"/>
      <c r="S45" s="186"/>
      <c r="T45" s="186"/>
      <c r="U45" s="186"/>
      <c r="V45" s="186"/>
      <c r="W45" s="186"/>
      <c r="X45" s="186"/>
    </row>
    <row r="46" spans="2:46" x14ac:dyDescent="0.25">
      <c r="B46" s="186"/>
      <c r="C46" s="187"/>
      <c r="D46" s="186"/>
      <c r="E46" s="197"/>
      <c r="F46" s="186"/>
      <c r="G46" s="197"/>
      <c r="H46" s="186"/>
      <c r="I46" s="200"/>
      <c r="J46" s="200"/>
      <c r="K46" s="200"/>
      <c r="L46" s="200"/>
      <c r="M46" s="200"/>
      <c r="N46" s="200"/>
      <c r="O46" s="200"/>
      <c r="P46" s="200"/>
      <c r="Q46" s="200"/>
      <c r="R46" s="186"/>
      <c r="S46" s="186"/>
      <c r="T46" s="186"/>
      <c r="U46" s="186"/>
      <c r="V46" s="186"/>
      <c r="W46" s="186"/>
      <c r="X46" s="186"/>
    </row>
    <row r="47" spans="2:46" x14ac:dyDescent="0.25">
      <c r="B47" s="186"/>
      <c r="C47" s="187"/>
      <c r="D47" s="186"/>
      <c r="E47" s="197"/>
      <c r="F47" s="186"/>
      <c r="G47" s="197"/>
      <c r="H47" s="186"/>
      <c r="I47" s="200"/>
      <c r="J47" s="200"/>
      <c r="K47" s="200"/>
      <c r="L47" s="200"/>
      <c r="M47" s="200"/>
      <c r="N47" s="200"/>
      <c r="O47" s="200"/>
      <c r="P47" s="200"/>
      <c r="Q47" s="200"/>
      <c r="R47" s="186"/>
      <c r="S47" s="186"/>
      <c r="T47" s="186"/>
      <c r="U47" s="186"/>
      <c r="V47" s="186"/>
      <c r="W47" s="186"/>
      <c r="X47" s="186"/>
    </row>
    <row r="48" spans="2:46" x14ac:dyDescent="0.25">
      <c r="B48" s="186"/>
      <c r="C48" s="187"/>
      <c r="D48" s="186"/>
      <c r="E48" s="197"/>
      <c r="F48" s="186"/>
      <c r="G48" s="197"/>
      <c r="H48" s="186"/>
      <c r="I48" s="200"/>
      <c r="J48" s="200"/>
      <c r="K48" s="200"/>
      <c r="L48" s="200"/>
      <c r="M48" s="200"/>
      <c r="N48" s="200"/>
      <c r="O48" s="200"/>
      <c r="P48" s="200"/>
      <c r="Q48" s="200"/>
      <c r="R48" s="186"/>
      <c r="S48" s="186"/>
      <c r="T48" s="186"/>
      <c r="U48" s="186"/>
      <c r="V48" s="186"/>
      <c r="W48" s="186"/>
      <c r="X48" s="186"/>
    </row>
    <row r="49" spans="2:46" x14ac:dyDescent="0.25">
      <c r="B49" s="186"/>
      <c r="C49" s="1"/>
      <c r="D49" s="186"/>
      <c r="E49" s="197"/>
      <c r="F49" s="186"/>
      <c r="G49" s="197"/>
      <c r="H49" s="186"/>
      <c r="I49" s="200"/>
      <c r="J49" s="200"/>
      <c r="K49" s="200"/>
      <c r="L49" s="200"/>
      <c r="M49" s="200"/>
      <c r="N49" s="200"/>
      <c r="O49" s="200"/>
      <c r="P49" s="200"/>
      <c r="Q49" s="200"/>
      <c r="R49" s="186"/>
      <c r="S49" s="186"/>
      <c r="T49" s="186"/>
      <c r="U49" s="186"/>
      <c r="V49" s="186"/>
      <c r="W49" s="186"/>
      <c r="X49" s="186"/>
    </row>
    <row r="50" spans="2:46" x14ac:dyDescent="0.25">
      <c r="B50" s="186"/>
      <c r="C50" s="187" t="str">
        <f>IF($C$1="ENG","filling:","заповнення:")</f>
        <v>заповнення:</v>
      </c>
      <c r="D50" s="186"/>
      <c r="E50" s="198" t="str">
        <f>IF($C$1="ENG","honeycomb","сотове заповн.")</f>
        <v>сотове заповн.</v>
      </c>
      <c r="F50" s="189"/>
      <c r="G50" s="198" t="str">
        <f>IF($C$1="ENG","honeycomb","сотове заповн.")</f>
        <v>сотове заповн.</v>
      </c>
      <c r="H50" s="189"/>
      <c r="I50" s="249"/>
      <c r="J50" s="249"/>
      <c r="K50" s="249"/>
      <c r="L50" s="249"/>
      <c r="M50" s="249"/>
      <c r="N50" s="249"/>
      <c r="O50" s="249"/>
      <c r="P50" s="200"/>
      <c r="Q50" s="200"/>
      <c r="R50" s="186"/>
      <c r="S50" s="186"/>
      <c r="T50" s="186"/>
      <c r="U50" s="186"/>
      <c r="V50" s="186"/>
      <c r="W50" s="186"/>
      <c r="X50" s="186"/>
    </row>
    <row r="51" spans="2:46" x14ac:dyDescent="0.25">
      <c r="B51" s="186"/>
      <c r="C51" s="187" t="str">
        <f>IF($C$1="ENG","glazing:","скління:")</f>
        <v>скління:</v>
      </c>
      <c r="D51" s="186"/>
      <c r="E51" s="198" t="str">
        <f>IF($C$1="ENG","Satin","Сатин")</f>
        <v>Сатин</v>
      </c>
      <c r="F51" s="189"/>
      <c r="G51" s="198" t="str">
        <f>IF($C$1="ENG","Satin","Сатин")</f>
        <v>Сатин</v>
      </c>
      <c r="H51" s="189"/>
      <c r="I51" s="249"/>
      <c r="J51" s="249"/>
      <c r="K51" s="249"/>
      <c r="L51" s="249"/>
      <c r="M51" s="249"/>
      <c r="N51" s="249"/>
      <c r="O51" s="249"/>
      <c r="P51" s="200"/>
      <c r="Q51" s="200"/>
      <c r="R51" s="186"/>
      <c r="S51" s="186"/>
      <c r="T51" s="186"/>
      <c r="U51" s="186"/>
      <c r="V51" s="186"/>
      <c r="W51" s="186"/>
      <c r="X51" s="186"/>
    </row>
    <row r="52" spans="2:46" x14ac:dyDescent="0.25">
      <c r="D52" s="199"/>
      <c r="E52" s="197"/>
      <c r="F52" s="200"/>
      <c r="G52" s="197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186"/>
    </row>
    <row r="53" spans="2:46" s="190" customFormat="1" ht="15" customHeight="1" x14ac:dyDescent="0.25">
      <c r="B53" s="241" t="str">
        <f>IF($C$1="ENG","PRICE","ЦІНА")</f>
        <v>ЦІНА</v>
      </c>
      <c r="C53" s="242" t="str">
        <f>IF($C$1="ENG",IF($W$5=0.2,"with VAT","no VAT"),IF($W$5=0.2,"з ПДВ","без ПДВ"))</f>
        <v>з ПДВ</v>
      </c>
      <c r="D53" s="191"/>
      <c r="E53" s="243"/>
      <c r="F53" s="191"/>
      <c r="G53" s="243"/>
      <c r="H53" s="191"/>
      <c r="I53" s="194"/>
      <c r="J53" s="250"/>
      <c r="K53" s="194"/>
      <c r="L53" s="250"/>
      <c r="M53" s="194"/>
      <c r="N53" s="250"/>
      <c r="O53" s="194"/>
      <c r="P53" s="250"/>
      <c r="Q53" s="250"/>
      <c r="R53" s="191"/>
      <c r="S53" s="191"/>
      <c r="T53" s="191"/>
      <c r="U53" s="191"/>
      <c r="V53" s="191"/>
      <c r="W53" s="191"/>
      <c r="X53" s="191"/>
      <c r="AN53" s="192"/>
      <c r="AO53" s="192"/>
      <c r="AP53" s="192"/>
      <c r="AQ53" s="192"/>
      <c r="AR53" s="192"/>
      <c r="AS53" s="192"/>
      <c r="AT53" s="192"/>
    </row>
    <row r="54" spans="2:46" s="190" customFormat="1" ht="24.9" customHeight="1" x14ac:dyDescent="0.25">
      <c r="B54" s="201" t="str">
        <f>IF($C$1="ENG","Cover:","Покриття:")</f>
        <v>Покриття:</v>
      </c>
      <c r="C54" s="202" t="str">
        <f>IF($C$1="ENG","SIMPLEX / Verto-CELL","SIMPLEX / Verto-CELL")</f>
        <v>SIMPLEX / Verto-CELL</v>
      </c>
      <c r="D54" s="203">
        <f>IF(AC54="","",(1-$W$2)*(AC54/1.2))</f>
        <v>3583.3333333333335</v>
      </c>
      <c r="E54" s="204">
        <f>IF($W$5=0.2,D54*1.2,D54)/$W$4</f>
        <v>4300</v>
      </c>
      <c r="F54" s="203">
        <f>IF(AD54="","",(1-$W$2)*(AD54/1.2))</f>
        <v>4033.3333333333335</v>
      </c>
      <c r="G54" s="204">
        <f>IF($W$5=0.2,F54*1.2,F54)/$W$4</f>
        <v>4840</v>
      </c>
      <c r="H54" s="203"/>
      <c r="I54" s="205"/>
      <c r="J54" s="203"/>
      <c r="K54" s="205"/>
      <c r="L54" s="203"/>
      <c r="M54" s="205"/>
      <c r="N54" s="203"/>
      <c r="O54" s="205"/>
      <c r="P54" s="203"/>
      <c r="Q54" s="205"/>
      <c r="R54" s="203"/>
      <c r="S54" s="205"/>
      <c r="T54" s="203"/>
      <c r="U54" s="205"/>
      <c r="V54" s="203"/>
      <c r="W54" s="205"/>
      <c r="X54" s="191"/>
      <c r="AB54" s="195" t="str">
        <f>C54</f>
        <v>SIMPLEX / Verto-CELL</v>
      </c>
      <c r="AC54" s="219">
        <v>4300</v>
      </c>
      <c r="AD54" s="219">
        <v>4840</v>
      </c>
      <c r="AE54" s="219"/>
      <c r="AF54" s="219"/>
      <c r="AG54" s="219"/>
      <c r="AH54" s="219"/>
      <c r="AN54" s="192"/>
      <c r="AO54" s="192"/>
      <c r="AP54" s="192"/>
      <c r="AQ54" s="192"/>
      <c r="AR54" s="192"/>
      <c r="AS54" s="192"/>
      <c r="AT54" s="192"/>
    </row>
    <row r="55" spans="2:46" s="190" customFormat="1" ht="24.9" customHeight="1" x14ac:dyDescent="0.25">
      <c r="B55" s="206"/>
      <c r="C55" s="207" t="str">
        <f>IF($C$1="ENG","UNI-MAT","UNI-MAT")</f>
        <v>UNI-MAT</v>
      </c>
      <c r="D55" s="208">
        <f>IF(AC55="","",(1-$W$2)*(AC55/1.2))</f>
        <v>4079.166666666667</v>
      </c>
      <c r="E55" s="209">
        <f>IF($W$5=0.2,D55*1.2,D55)/$W$4</f>
        <v>4895</v>
      </c>
      <c r="F55" s="208">
        <f>IF(AD55="","",(1-$W$2)*(AD55/1.2))</f>
        <v>4583.3333333333339</v>
      </c>
      <c r="G55" s="209">
        <f>IF($W$5=0.2,F55*1.2,F55)/$W$4</f>
        <v>5500.0000000000009</v>
      </c>
      <c r="H55" s="208"/>
      <c r="I55" s="210"/>
      <c r="J55" s="208"/>
      <c r="K55" s="210"/>
      <c r="L55" s="208"/>
      <c r="M55" s="210"/>
      <c r="N55" s="208"/>
      <c r="O55" s="210"/>
      <c r="P55" s="208"/>
      <c r="Q55" s="210"/>
      <c r="R55" s="208"/>
      <c r="S55" s="210"/>
      <c r="T55" s="208"/>
      <c r="U55" s="210"/>
      <c r="V55" s="208"/>
      <c r="W55" s="210"/>
      <c r="X55" s="191"/>
      <c r="AB55" s="195" t="str">
        <f>C55</f>
        <v>UNI-MAT</v>
      </c>
      <c r="AC55" s="219">
        <v>4895</v>
      </c>
      <c r="AD55" s="219">
        <v>5500</v>
      </c>
      <c r="AE55" s="219"/>
      <c r="AF55" s="219"/>
      <c r="AG55" s="219"/>
      <c r="AH55" s="219"/>
      <c r="AN55" s="192"/>
      <c r="AO55" s="192"/>
      <c r="AP55" s="192"/>
      <c r="AQ55" s="192"/>
      <c r="AR55" s="192"/>
      <c r="AS55" s="192"/>
      <c r="AT55" s="192"/>
    </row>
    <row r="56" spans="2:46" x14ac:dyDescent="0.25">
      <c r="B56" s="187"/>
      <c r="C56" s="1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</row>
    <row r="57" spans="2:46" x14ac:dyDescent="0.25">
      <c r="B57" s="211" t="str">
        <f>IF($C$1="ENG","For additonal charge:","Послуги за додаткову плату:")</f>
        <v>Послуги за додаткову плату:</v>
      </c>
      <c r="C57" s="212"/>
      <c r="D57" s="213"/>
      <c r="E57" s="214" t="str">
        <f>CONCATENATE(B53," ",C53)</f>
        <v>ЦІНА з ПДВ</v>
      </c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186"/>
    </row>
    <row r="58" spans="2:46" x14ac:dyDescent="0.25">
      <c r="B58" s="187"/>
      <c r="C58" s="1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</row>
    <row r="59" spans="2:46" ht="15" customHeight="1" x14ac:dyDescent="0.25">
      <c r="B59" s="225"/>
      <c r="C59" s="222" t="str">
        <f>IF($C$1="ENG","Ventilation cut","вентиляційний підріз")</f>
        <v>вентиляційний підріз</v>
      </c>
      <c r="D59" s="237">
        <f>IF(AC59="","",(1-$W$2)*(AC59/1.2))</f>
        <v>162.5</v>
      </c>
      <c r="E59" s="228">
        <f>IF($W$5=0.2,D59*1.2,D59)/$W$4</f>
        <v>195</v>
      </c>
      <c r="F59" s="191"/>
      <c r="G59" s="229"/>
      <c r="H59" s="224"/>
      <c r="I59" s="223" t="str">
        <f>IF($C$1="ENG","door lock Soft","замок Soft")</f>
        <v>замок Soft</v>
      </c>
      <c r="J59" s="238">
        <f>IF(AF59="","",(1-$W$2)*(AF59/1.2))</f>
        <v>525</v>
      </c>
      <c r="K59" s="227">
        <f>IF($W$5=0.2,J59*1.2,J59)/$W$4</f>
        <v>630</v>
      </c>
      <c r="L59" s="191"/>
      <c r="M59" s="229"/>
      <c r="N59" s="224"/>
      <c r="O59" s="223" t="str">
        <f>IF($C$1="ENG","cylinder incert","циліндр несиметричний")</f>
        <v>циліндр несиметричний</v>
      </c>
      <c r="P59" s="236">
        <f>IF(AI59="","",(1-$W$2)*(AI59/1.2))</f>
        <v>375</v>
      </c>
      <c r="Q59" s="227">
        <f>IF($W$5=0.2,P59*1.2,P59)/$W$4</f>
        <v>450</v>
      </c>
      <c r="R59" s="186"/>
      <c r="S59" s="186"/>
      <c r="T59" s="186"/>
      <c r="U59" s="186"/>
      <c r="V59" s="186"/>
      <c r="W59" s="186"/>
      <c r="X59" s="186"/>
      <c r="AC59" s="218">
        <v>195</v>
      </c>
      <c r="AF59" s="218">
        <v>630</v>
      </c>
      <c r="AI59" s="218">
        <v>450</v>
      </c>
    </row>
    <row r="60" spans="2:46" ht="15" customHeight="1" x14ac:dyDescent="0.25">
      <c r="B60" s="225"/>
      <c r="C60" s="222" t="str">
        <f>IF($C$1="ENG","third door hindge","третя завіса")</f>
        <v>третя завіса</v>
      </c>
      <c r="D60" s="237">
        <f>IF(AC60="","",(1-$W$2)*(AC60/1.2))</f>
        <v>75</v>
      </c>
      <c r="E60" s="228">
        <f>IF($W$5=0.2,D60*1.2,D60)/$W$4</f>
        <v>90</v>
      </c>
      <c r="F60" s="191"/>
      <c r="G60" s="230"/>
      <c r="H60" s="225"/>
      <c r="I60" s="222" t="str">
        <f>IF($C$1="ENG","door lock Soft black","замок Soft чорн.")</f>
        <v>замок Soft чорн.</v>
      </c>
      <c r="J60" s="239">
        <f>IF(AF60="","",(1-$W$2)*(AF60/1.2))</f>
        <v>650</v>
      </c>
      <c r="K60" s="228">
        <f>IF($W$5=0.2,J60*1.2,J60)/$W$4</f>
        <v>780</v>
      </c>
      <c r="L60" s="191"/>
      <c r="M60" s="230"/>
      <c r="N60" s="225"/>
      <c r="O60" s="222" t="str">
        <f>IF($C$1="ENG","door hindge Prestige (1 unit)","завіса Prestige (1 шт)")</f>
        <v>завіса Prestige (1 шт)</v>
      </c>
      <c r="P60" s="240">
        <f>IF(AI60="","",(1-$W$2)*(AI60/1.2))</f>
        <v>250</v>
      </c>
      <c r="Q60" s="228">
        <f>IF($W$5=0.2,P60*1.2,P60)/$W$4</f>
        <v>300</v>
      </c>
      <c r="R60" s="186"/>
      <c r="S60" s="186"/>
      <c r="T60" s="186"/>
      <c r="U60" s="186"/>
      <c r="V60" s="186"/>
      <c r="W60" s="186"/>
      <c r="X60" s="186"/>
      <c r="AC60" s="218">
        <v>90</v>
      </c>
      <c r="AF60" s="218">
        <v>780</v>
      </c>
      <c r="AI60" s="218">
        <v>300</v>
      </c>
    </row>
    <row r="61" spans="2:46" ht="15" customHeight="1" x14ac:dyDescent="0.25">
      <c r="B61" s="226"/>
      <c r="C61" s="222" t="str">
        <f>IF($C$1="ENG","glazing Graphite / Bronze","скло Графіт / Бронза")</f>
        <v>скло Графіт / Бронза</v>
      </c>
      <c r="D61" s="237">
        <f>IF(AC61="","",(1-$W$2)*(AC61/1.2))</f>
        <v>525</v>
      </c>
      <c r="E61" s="228">
        <f>IF($W$5=0.2,D61*1.2,D61)/$W$4</f>
        <v>630</v>
      </c>
      <c r="F61" s="191"/>
      <c r="G61" s="230"/>
      <c r="H61" s="225"/>
      <c r="I61" s="222" t="str">
        <f>IF($C$1="ENG","door lock Magnet","замок Magnet")</f>
        <v>замок Magnet</v>
      </c>
      <c r="J61" s="239">
        <f>IF(AF61="","",(1-$W$2)*(AF61/1.2))</f>
        <v>766.66666666666663</v>
      </c>
      <c r="K61" s="228">
        <f>IF($W$5=0.2,J61*1.2,J61)/$W$4</f>
        <v>919.99999999999989</v>
      </c>
      <c r="L61" s="191"/>
      <c r="M61" s="230"/>
      <c r="N61" s="225"/>
      <c r="O61" s="222" t="str">
        <f>IF($C$1="ENG","door hinge caps (1 set)","накладка на завіси (1 к-т)")</f>
        <v>накладка на завіси (1 к-т)</v>
      </c>
      <c r="P61" s="240">
        <f>IF(AI61="","",(1-$W$2)*(AI61/1.2))</f>
        <v>75</v>
      </c>
      <c r="Q61" s="228">
        <f>IF($W$5=0.2,P61*1.2,P61)/$W$4</f>
        <v>90</v>
      </c>
      <c r="R61" s="186"/>
      <c r="S61" s="186"/>
      <c r="T61" s="186"/>
      <c r="U61" s="186"/>
      <c r="V61" s="186"/>
      <c r="W61" s="186"/>
      <c r="X61" s="186"/>
      <c r="AC61" s="218">
        <v>630</v>
      </c>
      <c r="AF61" s="218">
        <v>919.99999999999989</v>
      </c>
      <c r="AI61" s="218">
        <v>90</v>
      </c>
    </row>
    <row r="62" spans="2:46" s="8" customFormat="1" ht="15" customHeight="1" x14ac:dyDescent="0.25">
      <c r="F62" s="184"/>
      <c r="G62" s="231"/>
      <c r="H62" s="226"/>
      <c r="I62" s="222" t="str">
        <f>IF($C$1="ENG","door lock Magnet black","замок Magnet чорн.")</f>
        <v>замок Magnet чорн.</v>
      </c>
      <c r="J62" s="239">
        <f>IF(AF62="","",(1-$W$2)*(AF62/1.2))</f>
        <v>958.33333333333337</v>
      </c>
      <c r="K62" s="228">
        <f>IF($W$5=0.2,J62*1.2,J62)/$W$4</f>
        <v>1150</v>
      </c>
      <c r="L62" s="220"/>
      <c r="M62" s="233"/>
      <c r="N62" s="226"/>
      <c r="O62" s="222" t="str">
        <f>IF($C$1="ENG","door handle","дверна ручка")</f>
        <v>дверна ручка</v>
      </c>
      <c r="P62" s="237" t="str">
        <f>IF(AI62="","",(1-$W$2)*(AI62/1.2))</f>
        <v/>
      </c>
      <c r="Q62" s="235" t="str">
        <f>IF($C$1="ENG","see Handles Price","див. Таблицю Ручки")</f>
        <v>див. Таблицю Ручки</v>
      </c>
      <c r="AD62" s="1"/>
      <c r="AE62" s="1"/>
      <c r="AF62" s="218">
        <v>1150</v>
      </c>
      <c r="AG62" s="1"/>
      <c r="AH62" s="1"/>
      <c r="AI62" s="218"/>
      <c r="AN62" s="123"/>
      <c r="AO62" s="123"/>
      <c r="AP62" s="123"/>
      <c r="AQ62" s="123"/>
      <c r="AR62" s="123"/>
      <c r="AS62" s="123"/>
      <c r="AT62" s="123"/>
    </row>
    <row r="63" spans="2:46" ht="15" customHeight="1" x14ac:dyDescent="0.25">
      <c r="C63" s="1"/>
      <c r="F63" s="221"/>
      <c r="G63" s="232"/>
      <c r="H63" s="225"/>
      <c r="I63" s="222" t="str">
        <f>IF($C$1="ENG","door handle-lock (for sliding doors)","ручка-замок (для дверей купе)")</f>
        <v>ручка-замок (для дверей купе)</v>
      </c>
      <c r="J63" s="237">
        <f>IF(AF63="","",(1-$W$2)*(AF63/1.2))</f>
        <v>533.33333333333337</v>
      </c>
      <c r="K63" s="228">
        <f>IF($W$5=0.2,J63*1.2,J63)/$W$4</f>
        <v>640</v>
      </c>
      <c r="L63" s="190"/>
      <c r="M63" s="234"/>
      <c r="N63" s="234"/>
      <c r="O63" s="222" t="str">
        <f>IF($C$1="ENG","perforated chipboard","ДСП трубчасте")</f>
        <v>ДСП трубчасте</v>
      </c>
      <c r="P63" s="237">
        <f>IF(AI63="","",(1-$W$2)*(AI63/1.2))</f>
        <v>1250</v>
      </c>
      <c r="Q63" s="228">
        <f>IF($W$5=0.2,P63*1.2,P63)/$W$4</f>
        <v>1500</v>
      </c>
      <c r="AF63" s="218">
        <v>640</v>
      </c>
      <c r="AI63" s="218">
        <v>1500</v>
      </c>
      <c r="AN63" s="1"/>
    </row>
    <row r="64" spans="2:46" s="8" customFormat="1" x14ac:dyDescent="0.25">
      <c r="B64" s="83"/>
      <c r="C64" s="162"/>
      <c r="D64" s="10"/>
      <c r="E64" s="10"/>
      <c r="F64" s="10"/>
      <c r="G64" s="10"/>
      <c r="H64" s="10"/>
      <c r="T64" s="82"/>
      <c r="U64" s="82"/>
      <c r="V64" s="82"/>
      <c r="W64" s="82"/>
      <c r="AN64" s="123"/>
      <c r="AO64" s="123"/>
      <c r="AP64" s="123"/>
      <c r="AQ64" s="123"/>
      <c r="AR64" s="123"/>
      <c r="AS64" s="123"/>
      <c r="AT64" s="123"/>
    </row>
    <row r="65" spans="2:46" s="8" customFormat="1" x14ac:dyDescent="0.25">
      <c r="B65" s="83"/>
      <c r="C65" s="162"/>
      <c r="D65" s="10"/>
      <c r="E65" s="10"/>
      <c r="F65" s="10"/>
      <c r="G65" s="10"/>
      <c r="H65" s="10"/>
      <c r="T65" s="82"/>
      <c r="U65" s="82"/>
      <c r="V65" s="82"/>
      <c r="W65" s="82"/>
      <c r="AN65" s="123"/>
      <c r="AO65" s="123"/>
      <c r="AP65" s="123"/>
      <c r="AQ65" s="123"/>
      <c r="AR65" s="123"/>
      <c r="AS65" s="123"/>
      <c r="AT65" s="123"/>
    </row>
    <row r="66" spans="2:46" s="8" customFormat="1" x14ac:dyDescent="0.25">
      <c r="B66" s="83"/>
      <c r="C66" s="162"/>
      <c r="D66" s="10"/>
      <c r="E66" s="10"/>
      <c r="F66" s="10"/>
      <c r="G66" s="10"/>
      <c r="H66" s="10"/>
      <c r="T66" s="82"/>
      <c r="U66" s="82"/>
      <c r="V66" s="82"/>
      <c r="W66" s="82"/>
      <c r="AN66" s="123"/>
      <c r="AO66" s="123"/>
      <c r="AP66" s="123"/>
      <c r="AQ66" s="123"/>
      <c r="AR66" s="123"/>
      <c r="AS66" s="123"/>
      <c r="AT66" s="123"/>
    </row>
    <row r="67" spans="2:46" s="8" customFormat="1" x14ac:dyDescent="0.25">
      <c r="B67" s="83"/>
      <c r="C67" s="162"/>
      <c r="D67" s="10"/>
      <c r="E67" s="10"/>
      <c r="F67" s="10"/>
      <c r="G67" s="10"/>
      <c r="H67" s="10"/>
      <c r="T67" s="82"/>
      <c r="U67" s="82"/>
      <c r="V67" s="82"/>
      <c r="W67" s="82"/>
      <c r="AN67" s="123"/>
      <c r="AO67" s="123"/>
      <c r="AP67" s="123"/>
      <c r="AQ67" s="123"/>
      <c r="AR67" s="123"/>
      <c r="AS67" s="123"/>
      <c r="AT67" s="123"/>
    </row>
    <row r="68" spans="2:46" s="8" customFormat="1" ht="24.9" customHeight="1" x14ac:dyDescent="0.25">
      <c r="B68" s="246" t="str">
        <f>TITLE!$C$10</f>
        <v>Полотна каркасно-щитові: GEOMETRIYA</v>
      </c>
      <c r="C68" s="244"/>
      <c r="D68" s="245"/>
      <c r="E68" s="245"/>
      <c r="F68" s="216"/>
      <c r="G68" s="216"/>
      <c r="H68" s="216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185"/>
      <c r="AN68" s="123"/>
      <c r="AO68" s="123"/>
      <c r="AP68" s="123"/>
      <c r="AQ68" s="123"/>
      <c r="AR68" s="123"/>
      <c r="AS68" s="123"/>
      <c r="AT68" s="123"/>
    </row>
    <row r="69" spans="2:46" s="8" customFormat="1" x14ac:dyDescent="0.25">
      <c r="B69" s="83"/>
      <c r="C69" s="162"/>
      <c r="D69" s="247"/>
      <c r="E69" s="247"/>
      <c r="F69" s="247"/>
      <c r="G69" s="247"/>
      <c r="H69" s="10"/>
      <c r="T69" s="90"/>
      <c r="U69" s="90"/>
      <c r="V69" s="90"/>
      <c r="W69" s="90"/>
      <c r="AN69" s="123"/>
      <c r="AO69" s="123"/>
      <c r="AP69" s="123"/>
      <c r="AQ69" s="123"/>
      <c r="AR69" s="123"/>
      <c r="AS69" s="123"/>
      <c r="AT69" s="123"/>
    </row>
    <row r="70" spans="2:46" x14ac:dyDescent="0.25">
      <c r="B70" s="186"/>
      <c r="C70" s="193" t="str">
        <f>IF($C$1="ENG","model:","модель:")</f>
        <v>модель:</v>
      </c>
      <c r="D70" s="186"/>
      <c r="E70" s="196" t="s">
        <v>16</v>
      </c>
      <c r="F70" s="188"/>
      <c r="G70" s="196" t="s">
        <v>19</v>
      </c>
      <c r="H70" s="188"/>
      <c r="I70" s="196" t="s">
        <v>20</v>
      </c>
      <c r="J70" s="188"/>
      <c r="K70" s="196" t="s">
        <v>21</v>
      </c>
      <c r="L70" s="188"/>
      <c r="M70" s="196" t="s">
        <v>22</v>
      </c>
      <c r="N70" s="188"/>
      <c r="O70" s="248"/>
      <c r="P70" s="186"/>
      <c r="Q70" s="186"/>
      <c r="R70" s="186"/>
      <c r="S70" s="186"/>
      <c r="T70" s="186"/>
      <c r="U70" s="186"/>
      <c r="V70" s="186"/>
      <c r="W70" s="186"/>
      <c r="X70" s="186"/>
    </row>
    <row r="71" spans="2:46" x14ac:dyDescent="0.25">
      <c r="B71" s="186"/>
      <c r="C71" s="187"/>
      <c r="D71" s="186"/>
      <c r="E71" s="197"/>
      <c r="F71" s="186"/>
      <c r="G71" s="197"/>
      <c r="H71" s="186"/>
      <c r="I71" s="197"/>
      <c r="J71" s="186"/>
      <c r="K71" s="197"/>
      <c r="L71" s="186"/>
      <c r="M71" s="197"/>
      <c r="N71" s="186"/>
      <c r="O71" s="200"/>
      <c r="P71" s="186"/>
      <c r="Q71" s="186"/>
      <c r="R71" s="186"/>
      <c r="S71" s="186"/>
      <c r="T71" s="186"/>
      <c r="U71" s="186"/>
      <c r="V71" s="186"/>
      <c r="W71" s="186"/>
      <c r="X71" s="186"/>
    </row>
    <row r="72" spans="2:46" x14ac:dyDescent="0.25">
      <c r="B72" s="186"/>
      <c r="C72" s="187"/>
      <c r="D72" s="186"/>
      <c r="E72" s="197"/>
      <c r="F72" s="186"/>
      <c r="G72" s="197"/>
      <c r="H72" s="186"/>
      <c r="I72" s="197"/>
      <c r="J72" s="186"/>
      <c r="K72" s="197"/>
      <c r="L72" s="186"/>
      <c r="M72" s="197"/>
      <c r="N72" s="186"/>
      <c r="O72" s="200"/>
      <c r="P72" s="186"/>
      <c r="Q72" s="186"/>
      <c r="R72" s="186"/>
      <c r="S72" s="186"/>
      <c r="T72" s="186"/>
      <c r="U72" s="186"/>
      <c r="V72" s="186"/>
      <c r="W72" s="186"/>
      <c r="X72" s="186"/>
    </row>
    <row r="73" spans="2:46" x14ac:dyDescent="0.25">
      <c r="B73" s="186"/>
      <c r="C73" s="187"/>
      <c r="D73" s="186"/>
      <c r="E73" s="197"/>
      <c r="F73" s="186"/>
      <c r="G73" s="197"/>
      <c r="H73" s="186"/>
      <c r="I73" s="197"/>
      <c r="J73" s="186"/>
      <c r="K73" s="197"/>
      <c r="L73" s="186"/>
      <c r="M73" s="197"/>
      <c r="N73" s="186"/>
      <c r="O73" s="200"/>
      <c r="P73" s="186"/>
      <c r="Q73" s="186"/>
      <c r="R73" s="186"/>
      <c r="S73" s="186"/>
      <c r="T73" s="186"/>
      <c r="U73" s="186"/>
      <c r="V73" s="186"/>
      <c r="W73" s="186"/>
      <c r="X73" s="186"/>
    </row>
    <row r="74" spans="2:46" x14ac:dyDescent="0.25">
      <c r="B74" s="186"/>
      <c r="C74" s="187"/>
      <c r="D74" s="186"/>
      <c r="E74" s="197"/>
      <c r="F74" s="186"/>
      <c r="G74" s="197"/>
      <c r="H74" s="186"/>
      <c r="I74" s="197"/>
      <c r="J74" s="186"/>
      <c r="K74" s="197"/>
      <c r="L74" s="186"/>
      <c r="M74" s="197"/>
      <c r="N74" s="186"/>
      <c r="O74" s="200"/>
      <c r="P74" s="186"/>
      <c r="Q74" s="186"/>
      <c r="R74" s="186"/>
      <c r="S74" s="186"/>
      <c r="T74" s="186"/>
      <c r="U74" s="186"/>
      <c r="V74" s="186"/>
      <c r="W74" s="186"/>
      <c r="X74" s="186"/>
    </row>
    <row r="75" spans="2:46" x14ac:dyDescent="0.25">
      <c r="B75" s="186"/>
      <c r="C75" s="187"/>
      <c r="D75" s="186"/>
      <c r="E75" s="197"/>
      <c r="F75" s="186"/>
      <c r="G75" s="197"/>
      <c r="H75" s="186"/>
      <c r="I75" s="197"/>
      <c r="J75" s="186"/>
      <c r="K75" s="197"/>
      <c r="L75" s="186"/>
      <c r="M75" s="197"/>
      <c r="N75" s="186"/>
      <c r="O75" s="200"/>
      <c r="P75" s="186"/>
      <c r="Q75" s="186"/>
      <c r="R75" s="186"/>
      <c r="S75" s="186"/>
      <c r="T75" s="186"/>
      <c r="U75" s="186"/>
      <c r="V75" s="186"/>
      <c r="W75" s="186"/>
      <c r="X75" s="186"/>
    </row>
    <row r="76" spans="2:46" x14ac:dyDescent="0.25">
      <c r="B76" s="186"/>
      <c r="C76" s="187"/>
      <c r="D76" s="186"/>
      <c r="E76" s="197"/>
      <c r="F76" s="186"/>
      <c r="G76" s="197"/>
      <c r="H76" s="186"/>
      <c r="I76" s="197"/>
      <c r="J76" s="186"/>
      <c r="K76" s="197"/>
      <c r="L76" s="186"/>
      <c r="M76" s="197"/>
      <c r="N76" s="186"/>
      <c r="O76" s="200"/>
      <c r="P76" s="186"/>
      <c r="Q76" s="186"/>
      <c r="R76" s="186"/>
      <c r="S76" s="186"/>
      <c r="T76" s="186"/>
      <c r="U76" s="186"/>
      <c r="V76" s="186"/>
      <c r="W76" s="186"/>
      <c r="X76" s="186"/>
    </row>
    <row r="77" spans="2:46" x14ac:dyDescent="0.25">
      <c r="B77" s="186"/>
      <c r="C77" s="187"/>
      <c r="D77" s="186"/>
      <c r="E77" s="197"/>
      <c r="F77" s="186"/>
      <c r="G77" s="197"/>
      <c r="H77" s="186"/>
      <c r="I77" s="197"/>
      <c r="J77" s="186"/>
      <c r="K77" s="197"/>
      <c r="L77" s="186"/>
      <c r="M77" s="197"/>
      <c r="N77" s="186"/>
      <c r="O77" s="200"/>
      <c r="P77" s="186"/>
      <c r="Q77" s="186"/>
      <c r="R77" s="186"/>
      <c r="S77" s="186"/>
      <c r="T77" s="186"/>
      <c r="U77" s="186"/>
      <c r="V77" s="186"/>
      <c r="W77" s="186"/>
      <c r="X77" s="186"/>
    </row>
    <row r="78" spans="2:46" x14ac:dyDescent="0.25">
      <c r="B78" s="186"/>
      <c r="C78" s="1"/>
      <c r="D78" s="186"/>
      <c r="E78" s="197"/>
      <c r="F78" s="186"/>
      <c r="G78" s="197"/>
      <c r="H78" s="186"/>
      <c r="I78" s="197"/>
      <c r="J78" s="186"/>
      <c r="K78" s="197"/>
      <c r="L78" s="186"/>
      <c r="M78" s="197"/>
      <c r="N78" s="186"/>
      <c r="O78" s="200"/>
      <c r="P78" s="186"/>
      <c r="Q78" s="186"/>
      <c r="R78" s="186"/>
      <c r="S78" s="186"/>
      <c r="T78" s="186"/>
      <c r="U78" s="186"/>
      <c r="V78" s="186"/>
      <c r="W78" s="186"/>
      <c r="X78" s="186"/>
    </row>
    <row r="79" spans="2:46" x14ac:dyDescent="0.25">
      <c r="B79" s="186"/>
      <c r="C79" s="187" t="str">
        <f>IF($C$1="ENG","filling:","заповнення:")</f>
        <v>заповнення:</v>
      </c>
      <c r="D79" s="186"/>
      <c r="E79" s="198" t="str">
        <f>IF($C$1="ENG","honeycomb","сотове заповн.")</f>
        <v>сотове заповн.</v>
      </c>
      <c r="F79" s="189"/>
      <c r="G79" s="198" t="str">
        <f>IF($C$1="ENG","honeycomb","сотове заповн.")</f>
        <v>сотове заповн.</v>
      </c>
      <c r="H79" s="189"/>
      <c r="I79" s="198" t="str">
        <f>IF($C$1="ENG","honeycomb","сотове заповн.")</f>
        <v>сотове заповн.</v>
      </c>
      <c r="J79" s="189"/>
      <c r="K79" s="198" t="str">
        <f>IF($C$1="ENG","honeycomb","сотове заповн.")</f>
        <v>сотове заповн.</v>
      </c>
      <c r="L79" s="189"/>
      <c r="M79" s="198" t="str">
        <f>IF($C$1="ENG","honeycomb","сотове заповн.")</f>
        <v>сотове заповн.</v>
      </c>
      <c r="N79" s="189"/>
      <c r="O79" s="249"/>
      <c r="P79" s="186"/>
      <c r="Q79" s="186"/>
      <c r="R79" s="186"/>
      <c r="S79" s="186"/>
      <c r="T79" s="186"/>
      <c r="U79" s="186"/>
      <c r="V79" s="186"/>
      <c r="W79" s="186"/>
      <c r="X79" s="186"/>
    </row>
    <row r="80" spans="2:46" x14ac:dyDescent="0.25">
      <c r="B80" s="186"/>
      <c r="C80" s="187" t="str">
        <f>IF($C$1="ENG","glazing:","скління:")</f>
        <v>скління:</v>
      </c>
      <c r="D80" s="186"/>
      <c r="E80" s="198" t="str">
        <f>IF($C$1="ENG","Satin","Сатин")</f>
        <v>Сатин</v>
      </c>
      <c r="F80" s="189"/>
      <c r="G80" s="198" t="str">
        <f>IF($C$1="ENG","Satin","Сатин")</f>
        <v>Сатин</v>
      </c>
      <c r="H80" s="189"/>
      <c r="I80" s="198" t="str">
        <f>IF($C$1="ENG","Satin","Сатин")</f>
        <v>Сатин</v>
      </c>
      <c r="J80" s="189"/>
      <c r="K80" s="198" t="str">
        <f>IF($C$1="ENG","Satin","Сатин")</f>
        <v>Сатин</v>
      </c>
      <c r="L80" s="189"/>
      <c r="M80" s="198" t="str">
        <f>IF($C$1="ENG","Satin","Сатин")</f>
        <v>Сатин</v>
      </c>
      <c r="N80" s="189"/>
      <c r="O80" s="249"/>
      <c r="P80" s="186"/>
      <c r="Q80" s="186"/>
      <c r="R80" s="186"/>
      <c r="S80" s="186"/>
      <c r="T80" s="186"/>
      <c r="U80" s="186"/>
      <c r="V80" s="186"/>
      <c r="W80" s="186"/>
      <c r="X80" s="186"/>
    </row>
    <row r="81" spans="2:46" x14ac:dyDescent="0.25">
      <c r="D81" s="199"/>
      <c r="E81" s="197"/>
      <c r="F81" s="200"/>
      <c r="G81" s="197"/>
      <c r="H81" s="200"/>
      <c r="I81" s="197"/>
      <c r="J81" s="200"/>
      <c r="K81" s="197"/>
      <c r="L81" s="200"/>
      <c r="M81" s="197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186"/>
    </row>
    <row r="82" spans="2:46" s="190" customFormat="1" ht="15" customHeight="1" x14ac:dyDescent="0.25">
      <c r="B82" s="241" t="str">
        <f>IF($C$1="ENG","PRICE","ЦІНА")</f>
        <v>ЦІНА</v>
      </c>
      <c r="C82" s="242" t="str">
        <f>IF($C$1="ENG",IF($W$5=0.2,"with VAT","no VAT"),IF($W$5=0.2,"з ПДВ","без ПДВ"))</f>
        <v>з ПДВ</v>
      </c>
      <c r="D82" s="191"/>
      <c r="E82" s="243"/>
      <c r="F82" s="191"/>
      <c r="G82" s="243"/>
      <c r="H82" s="191"/>
      <c r="I82" s="243"/>
      <c r="J82" s="191"/>
      <c r="K82" s="243"/>
      <c r="L82" s="191"/>
      <c r="M82" s="243"/>
      <c r="N82" s="191"/>
      <c r="O82" s="194"/>
      <c r="P82" s="191"/>
      <c r="Q82" s="191"/>
      <c r="R82" s="191"/>
      <c r="S82" s="191"/>
      <c r="T82" s="191"/>
      <c r="U82" s="191"/>
      <c r="V82" s="191"/>
      <c r="W82" s="191"/>
      <c r="X82" s="191"/>
      <c r="AN82" s="192"/>
      <c r="AO82" s="192"/>
      <c r="AP82" s="192"/>
      <c r="AQ82" s="192"/>
      <c r="AR82" s="192"/>
      <c r="AS82" s="192"/>
      <c r="AT82" s="192"/>
    </row>
    <row r="83" spans="2:46" s="190" customFormat="1" ht="24.9" customHeight="1" x14ac:dyDescent="0.25">
      <c r="B83" s="201" t="str">
        <f>IF($C$1="ENG","Cover:","Покриття:")</f>
        <v>Покриття:</v>
      </c>
      <c r="C83" s="202" t="str">
        <f>IF($C$1="ENG","SIMPLEX / Verto-CELL","SIMPLEX / Verto-CELL")</f>
        <v>SIMPLEX / Verto-CELL</v>
      </c>
      <c r="D83" s="203">
        <f>IF(AC83="","",(1-$W$2)*(AC83/1.2))</f>
        <v>3566.666666666667</v>
      </c>
      <c r="E83" s="204">
        <f>IF($W$5=0.2,D83*1.2,D83)/$W$4</f>
        <v>4280</v>
      </c>
      <c r="F83" s="203">
        <f>IF(AD83="","",(1-$W$2)*(AD83/1.2))</f>
        <v>3841.666666666667</v>
      </c>
      <c r="G83" s="204">
        <f>IF($W$5=0.2,F83*1.2,F83)/$W$4</f>
        <v>4610</v>
      </c>
      <c r="H83" s="203">
        <f>IF(AE83="","",(1-$W$2)*(AE83/1.2))</f>
        <v>3841.666666666667</v>
      </c>
      <c r="I83" s="204">
        <f>IF($W$5=0.2,H83*1.2,H83)/$W$4</f>
        <v>4610</v>
      </c>
      <c r="J83" s="203">
        <f>IF(AF83="","",(1-$W$2)*(AF83/1.2))</f>
        <v>3841.666666666667</v>
      </c>
      <c r="K83" s="204">
        <f>IF($W$5=0.2,J83*1.2,J83)/$W$4</f>
        <v>4610</v>
      </c>
      <c r="L83" s="203">
        <f>IF(AG83="","",(1-$W$2)*(AG83/1.2))</f>
        <v>3841.666666666667</v>
      </c>
      <c r="M83" s="204">
        <f>IF($W$5=0.2,L83*1.2,L83)/$W$4</f>
        <v>4610</v>
      </c>
      <c r="N83" s="203"/>
      <c r="O83" s="205"/>
      <c r="P83" s="203"/>
      <c r="Q83" s="205"/>
      <c r="R83" s="203"/>
      <c r="S83" s="205"/>
      <c r="T83" s="203"/>
      <c r="U83" s="205"/>
      <c r="V83" s="203"/>
      <c r="W83" s="205"/>
      <c r="X83" s="191"/>
      <c r="AB83" s="195" t="str">
        <f>C83</f>
        <v>SIMPLEX / Verto-CELL</v>
      </c>
      <c r="AC83" s="219">
        <v>4280</v>
      </c>
      <c r="AD83" s="219">
        <v>4610</v>
      </c>
      <c r="AE83" s="219">
        <v>4610</v>
      </c>
      <c r="AF83" s="219">
        <v>4610</v>
      </c>
      <c r="AG83" s="219">
        <v>4610</v>
      </c>
      <c r="AH83" s="219"/>
      <c r="AN83" s="192"/>
      <c r="AO83" s="192"/>
      <c r="AP83" s="192"/>
      <c r="AQ83" s="192"/>
      <c r="AR83" s="192"/>
      <c r="AS83" s="192"/>
      <c r="AT83" s="192"/>
    </row>
    <row r="84" spans="2:46" s="190" customFormat="1" ht="24.9" customHeight="1" x14ac:dyDescent="0.25">
      <c r="B84" s="254"/>
      <c r="C84" s="255" t="str">
        <f>IF($C$1="ENG","UNI-MAT","UNI-MAT")</f>
        <v>UNI-MAT</v>
      </c>
      <c r="D84" s="256">
        <f>IF(AC84="","",(1-$W$2)*(AC84/1.2))</f>
        <v>4050</v>
      </c>
      <c r="E84" s="257">
        <f>IF($W$5=0.2,D84*1.2,D84)/$W$4</f>
        <v>4860</v>
      </c>
      <c r="F84" s="256">
        <f>IF(AD84="","",(1-$W$2)*(AD84/1.2))</f>
        <v>4383.3333333333339</v>
      </c>
      <c r="G84" s="257">
        <f>IF($W$5=0.2,F84*1.2,F84)/$W$4</f>
        <v>5260.0000000000009</v>
      </c>
      <c r="H84" s="256">
        <f>IF(AE84="","",(1-$W$2)*(AE84/1.2))</f>
        <v>4383.3333333333339</v>
      </c>
      <c r="I84" s="257">
        <f>IF($W$5=0.2,H84*1.2,H84)/$W$4</f>
        <v>5260.0000000000009</v>
      </c>
      <c r="J84" s="256">
        <f>IF(AF84="","",(1-$W$2)*(AF84/1.2))</f>
        <v>4383.3333333333339</v>
      </c>
      <c r="K84" s="257">
        <f>IF($W$5=0.2,J84*1.2,J84)/$W$4</f>
        <v>5260.0000000000009</v>
      </c>
      <c r="L84" s="256">
        <f>IF(AG84="","",(1-$W$2)*(AG84/1.2))</f>
        <v>4383.3333333333339</v>
      </c>
      <c r="M84" s="257">
        <f>IF($W$5=0.2,L84*1.2,L84)/$W$4</f>
        <v>5260.0000000000009</v>
      </c>
      <c r="N84" s="256"/>
      <c r="O84" s="258"/>
      <c r="P84" s="256"/>
      <c r="Q84" s="258"/>
      <c r="R84" s="256"/>
      <c r="S84" s="258"/>
      <c r="T84" s="256"/>
      <c r="U84" s="258"/>
      <c r="V84" s="256"/>
      <c r="W84" s="258"/>
      <c r="X84" s="191"/>
      <c r="AB84" s="195" t="str">
        <f>C84</f>
        <v>UNI-MAT</v>
      </c>
      <c r="AC84" s="219">
        <v>4860</v>
      </c>
      <c r="AD84" s="219">
        <v>5260</v>
      </c>
      <c r="AE84" s="219">
        <v>5260</v>
      </c>
      <c r="AF84" s="219">
        <v>5260</v>
      </c>
      <c r="AG84" s="219">
        <v>5260</v>
      </c>
      <c r="AH84" s="219"/>
      <c r="AN84" s="192"/>
      <c r="AO84" s="192"/>
      <c r="AP84" s="192"/>
      <c r="AQ84" s="192"/>
      <c r="AR84" s="192"/>
      <c r="AS84" s="192"/>
      <c r="AT84" s="192"/>
    </row>
    <row r="85" spans="2:46" s="190" customFormat="1" ht="24.9" customHeight="1" x14ac:dyDescent="0.25">
      <c r="B85" s="206"/>
      <c r="C85" s="207" t="str">
        <f>IF($C$1="ENG","RESIST","RESIST")</f>
        <v>RESIST</v>
      </c>
      <c r="D85" s="208">
        <f>IF(AC85="","",(1-$W$2)*(AC85/1.2))</f>
        <v>4308.3333333333339</v>
      </c>
      <c r="E85" s="209">
        <f>IF($W$5=0.2,D85*1.2,D85)/$W$4</f>
        <v>5170.0000000000009</v>
      </c>
      <c r="F85" s="208">
        <f>IF(AD85="","",(1-$W$2)*(AD85/1.2))</f>
        <v>4550</v>
      </c>
      <c r="G85" s="209">
        <f>IF($W$5=0.2,F85*1.2,F85)/$W$4</f>
        <v>5460</v>
      </c>
      <c r="H85" s="208">
        <f>IF(AE85="","",(1-$W$2)*(AE85/1.2))</f>
        <v>4550</v>
      </c>
      <c r="I85" s="209">
        <f>IF($W$5=0.2,H85*1.2,H85)/$W$4</f>
        <v>5460</v>
      </c>
      <c r="J85" s="208">
        <f>IF(AF85="","",(1-$W$2)*(AF85/1.2))</f>
        <v>4550</v>
      </c>
      <c r="K85" s="209">
        <f>IF($W$5=0.2,J85*1.2,J85)/$W$4</f>
        <v>5460</v>
      </c>
      <c r="L85" s="208">
        <f>IF(AG85="","",(1-$W$2)*(AG85/1.2))</f>
        <v>4550</v>
      </c>
      <c r="M85" s="209">
        <f>IF($W$5=0.2,L85*1.2,L85)/$W$4</f>
        <v>5460</v>
      </c>
      <c r="N85" s="208"/>
      <c r="O85" s="210"/>
      <c r="P85" s="208"/>
      <c r="Q85" s="210"/>
      <c r="R85" s="208"/>
      <c r="S85" s="210"/>
      <c r="T85" s="208"/>
      <c r="U85" s="210"/>
      <c r="V85" s="208"/>
      <c r="W85" s="210"/>
      <c r="X85" s="191"/>
      <c r="AB85" s="195" t="str">
        <f>C85</f>
        <v>RESIST</v>
      </c>
      <c r="AC85" s="219">
        <v>5170</v>
      </c>
      <c r="AD85" s="219">
        <v>5460</v>
      </c>
      <c r="AE85" s="219">
        <v>5460</v>
      </c>
      <c r="AF85" s="219">
        <v>5460</v>
      </c>
      <c r="AG85" s="219">
        <v>5460</v>
      </c>
      <c r="AH85" s="219"/>
      <c r="AN85" s="192"/>
      <c r="AO85" s="192"/>
      <c r="AP85" s="192"/>
      <c r="AQ85" s="192"/>
      <c r="AR85" s="192"/>
      <c r="AS85" s="192"/>
      <c r="AT85" s="192"/>
    </row>
    <row r="86" spans="2:46" x14ac:dyDescent="0.25">
      <c r="B86" s="187"/>
      <c r="C86" s="1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6"/>
      <c r="Q86" s="186"/>
      <c r="R86" s="186"/>
      <c r="S86" s="186"/>
      <c r="T86" s="186"/>
      <c r="U86" s="186"/>
      <c r="V86" s="186"/>
      <c r="W86" s="186"/>
      <c r="X86" s="186"/>
    </row>
    <row r="87" spans="2:46" x14ac:dyDescent="0.25">
      <c r="B87" s="211" t="str">
        <f>IF($C$1="ENG","For additonal charge:","Послуги за додаткову плату:")</f>
        <v>Послуги за додаткову плату:</v>
      </c>
      <c r="C87" s="212"/>
      <c r="D87" s="213"/>
      <c r="E87" s="214" t="str">
        <f>CONCATENATE(B82," ",C82)</f>
        <v>ЦІНА з ПДВ</v>
      </c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5"/>
      <c r="Q87" s="215"/>
      <c r="R87" s="215"/>
      <c r="S87" s="215"/>
      <c r="T87" s="215"/>
      <c r="U87" s="215"/>
      <c r="V87" s="215"/>
      <c r="W87" s="215"/>
      <c r="X87" s="186"/>
    </row>
    <row r="88" spans="2:46" x14ac:dyDescent="0.25">
      <c r="B88" s="187"/>
      <c r="C88" s="1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6"/>
    </row>
    <row r="89" spans="2:46" ht="15" customHeight="1" x14ac:dyDescent="0.25">
      <c r="B89" s="224"/>
      <c r="C89" s="223" t="str">
        <f>IF($C$1="ENG","Ventilation sleeves (1 row)","вентиляційні віддушини (1ряд)")</f>
        <v>вентиляційні віддушини (1ряд)</v>
      </c>
      <c r="D89" s="236">
        <f>IF(AC89="","",(1-$W$2)*(AC89/1.2))</f>
        <v>241.66666666666669</v>
      </c>
      <c r="E89" s="227">
        <f>IF($W$5=0.2,D89*1.2,D89)/$W$4</f>
        <v>290</v>
      </c>
      <c r="F89" s="191"/>
      <c r="G89" s="229"/>
      <c r="H89" s="224"/>
      <c r="I89" s="223" t="str">
        <f>IF($C$1="ENG","door lock Soft","замок Soft")</f>
        <v>замок Soft</v>
      </c>
      <c r="J89" s="238">
        <f>IF(AF89="","",(1-$W$2)*(AF89/1.2))</f>
        <v>525</v>
      </c>
      <c r="K89" s="227">
        <f>IF($W$5=0.2,J89*1.2,J89)/$W$4</f>
        <v>630</v>
      </c>
      <c r="L89" s="191"/>
      <c r="M89" s="229"/>
      <c r="N89" s="224"/>
      <c r="O89" s="223" t="str">
        <f>IF($C$1="ENG","cylinder incert","циліндр несиметричний")</f>
        <v>циліндр несиметричний</v>
      </c>
      <c r="P89" s="236">
        <f>IF(AI89="","",(1-$W$2)*(AI89/1.2))</f>
        <v>375</v>
      </c>
      <c r="Q89" s="227">
        <f>IF($W$5=0.2,P89*1.2,P89)/$W$4</f>
        <v>450</v>
      </c>
      <c r="R89" s="186"/>
      <c r="S89" s="186"/>
      <c r="T89" s="186"/>
      <c r="U89" s="186"/>
      <c r="V89" s="186"/>
      <c r="W89" s="186"/>
      <c r="X89" s="186"/>
      <c r="AC89" s="218">
        <v>290</v>
      </c>
      <c r="AF89" s="218">
        <v>630</v>
      </c>
      <c r="AI89" s="218">
        <v>450</v>
      </c>
    </row>
    <row r="90" spans="2:46" ht="15" customHeight="1" x14ac:dyDescent="0.25">
      <c r="B90" s="225"/>
      <c r="C90" s="222" t="str">
        <f>IF($C$1="ENG","Ventilation cut","вентиляційний підріз")</f>
        <v>вентиляційний підріз</v>
      </c>
      <c r="D90" s="237">
        <f>IF(AC90="","",(1-$W$2)*(AC90/1.2))</f>
        <v>162.5</v>
      </c>
      <c r="E90" s="228">
        <f>IF($W$5=0.2,D90*1.2,D90)/$W$4</f>
        <v>195</v>
      </c>
      <c r="F90" s="191"/>
      <c r="G90" s="230"/>
      <c r="H90" s="225"/>
      <c r="I90" s="222" t="str">
        <f>IF($C$1="ENG","door lock Soft black","замок Soft чорн.")</f>
        <v>замок Soft чорн.</v>
      </c>
      <c r="J90" s="239">
        <f>IF(AF90="","",(1-$W$2)*(AF90/1.2))</f>
        <v>650</v>
      </c>
      <c r="K90" s="228">
        <f>IF($W$5=0.2,J90*1.2,J90)/$W$4</f>
        <v>780</v>
      </c>
      <c r="L90" s="191"/>
      <c r="M90" s="230"/>
      <c r="N90" s="225"/>
      <c r="O90" s="222" t="str">
        <f>IF($C$1="ENG","door hindge Prestige (1 unit)","завіса Prestige (1 шт)")</f>
        <v>завіса Prestige (1 шт)</v>
      </c>
      <c r="P90" s="240">
        <f>IF(AI90="","",(1-$W$2)*(AI90/1.2))</f>
        <v>250</v>
      </c>
      <c r="Q90" s="228">
        <f>IF($W$5=0.2,P90*1.2,P90)/$W$4</f>
        <v>300</v>
      </c>
      <c r="R90" s="186"/>
      <c r="S90" s="186"/>
      <c r="T90" s="186"/>
      <c r="U90" s="186"/>
      <c r="V90" s="186"/>
      <c r="W90" s="186"/>
      <c r="X90" s="186"/>
      <c r="AC90" s="218">
        <v>195</v>
      </c>
      <c r="AF90" s="218">
        <v>780</v>
      </c>
      <c r="AI90" s="218">
        <v>300</v>
      </c>
    </row>
    <row r="91" spans="2:46" ht="15" customHeight="1" x14ac:dyDescent="0.25">
      <c r="B91" s="225"/>
      <c r="C91" s="222" t="str">
        <f>IF($C$1="ENG","third door hindge","третя завіса")</f>
        <v>третя завіса</v>
      </c>
      <c r="D91" s="237">
        <f>IF(AC91="","",(1-$W$2)*(AC91/1.2))</f>
        <v>75</v>
      </c>
      <c r="E91" s="228">
        <f>IF($W$5=0.2,D91*1.2,D91)/$W$4</f>
        <v>90</v>
      </c>
      <c r="F91" s="191"/>
      <c r="G91" s="230"/>
      <c r="H91" s="225"/>
      <c r="I91" s="222" t="str">
        <f>IF($C$1="ENG","door lock Magnet","замок Magnet")</f>
        <v>замок Magnet</v>
      </c>
      <c r="J91" s="239">
        <f>IF(AF91="","",(1-$W$2)*(AF91/1.2))</f>
        <v>766.66666666666663</v>
      </c>
      <c r="K91" s="228">
        <f>IF($W$5=0.2,J91*1.2,J91)/$W$4</f>
        <v>919.99999999999989</v>
      </c>
      <c r="L91" s="191"/>
      <c r="M91" s="230"/>
      <c r="N91" s="225"/>
      <c r="O91" s="222" t="str">
        <f>IF($C$1="ENG","door hinge caps (1 set)","накладка на завіси (1 к-т)")</f>
        <v>накладка на завіси (1 к-т)</v>
      </c>
      <c r="P91" s="240">
        <f>IF(AI91="","",(1-$W$2)*(AI91/1.2))</f>
        <v>75</v>
      </c>
      <c r="Q91" s="228">
        <f>IF($W$5=0.2,P91*1.2,P91)/$W$4</f>
        <v>90</v>
      </c>
      <c r="R91" s="186"/>
      <c r="S91" s="186"/>
      <c r="T91" s="186"/>
      <c r="U91" s="186"/>
      <c r="V91" s="186"/>
      <c r="W91" s="186"/>
      <c r="X91" s="186"/>
      <c r="AC91" s="218">
        <v>90</v>
      </c>
      <c r="AF91" s="218">
        <v>919.99999999999989</v>
      </c>
      <c r="AI91" s="218">
        <v>90</v>
      </c>
    </row>
    <row r="92" spans="2:46" s="8" customFormat="1" ht="15" customHeight="1" x14ac:dyDescent="0.25">
      <c r="B92" s="226"/>
      <c r="C92" s="222" t="str">
        <f>IF($C$1="ENG","glazing Graphite / Bronze","скло Графіт / Бронза")</f>
        <v>скло Графіт / Бронза</v>
      </c>
      <c r="D92" s="237">
        <f>IF(AC92="","",(1-$W$2)*(AC92/1.2))</f>
        <v>525</v>
      </c>
      <c r="E92" s="228">
        <f>IF($W$5=0.2,D92*1.2,D92)/$W$4</f>
        <v>630</v>
      </c>
      <c r="F92" s="184"/>
      <c r="G92" s="231"/>
      <c r="H92" s="226"/>
      <c r="I92" s="222" t="str">
        <f>IF($C$1="ENG","door lock Magnet black","замок Magnet чорн.")</f>
        <v>замок Magnet чорн.</v>
      </c>
      <c r="J92" s="239">
        <f>IF(AF92="","",(1-$W$2)*(AF92/1.2))</f>
        <v>958.33333333333337</v>
      </c>
      <c r="K92" s="228">
        <f>IF($W$5=0.2,J92*1.2,J92)/$W$4</f>
        <v>1150</v>
      </c>
      <c r="L92" s="220"/>
      <c r="M92" s="233"/>
      <c r="N92" s="226"/>
      <c r="O92" s="222" t="str">
        <f>IF($C$1="ENG","door handle","дверна ручка")</f>
        <v>дверна ручка</v>
      </c>
      <c r="P92" s="237" t="str">
        <f>IF(AI92="","",(1-$W$2)*(AI92/1.2))</f>
        <v/>
      </c>
      <c r="Q92" s="235" t="str">
        <f>IF($C$1="ENG","see Handles Price","див. Таблицю Ручки")</f>
        <v>див. Таблицю Ручки</v>
      </c>
      <c r="AC92" s="218">
        <v>630</v>
      </c>
      <c r="AD92" s="1"/>
      <c r="AE92" s="1"/>
      <c r="AF92" s="218">
        <v>1150</v>
      </c>
      <c r="AG92" s="1"/>
      <c r="AH92" s="1"/>
      <c r="AI92" s="218"/>
      <c r="AN92" s="123"/>
      <c r="AO92" s="123"/>
      <c r="AP92" s="123"/>
      <c r="AQ92" s="123"/>
      <c r="AR92" s="123"/>
      <c r="AS92" s="123"/>
      <c r="AT92" s="123"/>
    </row>
    <row r="93" spans="2:46" ht="15" customHeight="1" x14ac:dyDescent="0.25">
      <c r="C93" s="1"/>
      <c r="F93" s="221"/>
      <c r="G93" s="232"/>
      <c r="H93" s="225"/>
      <c r="I93" s="222" t="str">
        <f>IF($C$1="ENG","door handle-lock (for sliding doors)","ручка-замок (для дверей купе)")</f>
        <v>ручка-замок (для дверей купе)</v>
      </c>
      <c r="J93" s="237">
        <f>IF(AF93="","",(1-$W$2)*(AF93/1.2))</f>
        <v>533.33333333333337</v>
      </c>
      <c r="K93" s="228">
        <f>IF($W$5=0.2,J93*1.2,J93)/$W$4</f>
        <v>640</v>
      </c>
      <c r="L93" s="190"/>
      <c r="M93" s="234"/>
      <c r="N93" s="234"/>
      <c r="O93" s="222" t="str">
        <f>IF($C$1="ENG","perforated chipboard","ДСП трубчасте")</f>
        <v>ДСП трубчасте</v>
      </c>
      <c r="P93" s="237">
        <f>IF(AI93="","",(1-$W$2)*(AI93/1.2))</f>
        <v>1250</v>
      </c>
      <c r="Q93" s="228">
        <f>IF($W$5=0.2,P93*1.2,P93)/$W$4</f>
        <v>1500</v>
      </c>
      <c r="AF93" s="218">
        <v>640</v>
      </c>
      <c r="AI93" s="218">
        <v>1500</v>
      </c>
      <c r="AN93" s="1"/>
    </row>
    <row r="94" spans="2:46" x14ac:dyDescent="0.25">
      <c r="C94" s="1"/>
      <c r="F94" s="21"/>
      <c r="G94" s="21"/>
      <c r="H94" s="10"/>
      <c r="I94" s="33"/>
      <c r="J94" s="33"/>
      <c r="K94" s="33"/>
      <c r="S94" s="132"/>
      <c r="T94" s="183"/>
      <c r="U94" s="183"/>
      <c r="V94" s="183"/>
      <c r="W94" s="183"/>
    </row>
    <row r="95" spans="2:46" x14ac:dyDescent="0.25">
      <c r="B95" s="22"/>
      <c r="C95" s="110"/>
      <c r="D95" s="28"/>
      <c r="E95" s="21"/>
      <c r="F95" s="21"/>
      <c r="G95" s="21"/>
      <c r="H95" s="10"/>
      <c r="I95" s="8"/>
    </row>
    <row r="96" spans="2:46" x14ac:dyDescent="0.25">
      <c r="C96" s="110"/>
      <c r="D96" s="21"/>
      <c r="E96" s="21"/>
      <c r="F96" s="21"/>
      <c r="G96" s="21"/>
      <c r="H96" s="5"/>
      <c r="L96" s="73"/>
      <c r="N96" s="73"/>
      <c r="O96" s="17"/>
      <c r="P96" s="73"/>
      <c r="R96" s="73"/>
      <c r="S96" s="17"/>
      <c r="T96" s="73"/>
      <c r="V96" s="73"/>
      <c r="W96" s="17"/>
    </row>
    <row r="97" spans="2:46" x14ac:dyDescent="0.25">
      <c r="C97" s="110"/>
      <c r="D97" s="21"/>
      <c r="E97" s="21"/>
      <c r="F97" s="21"/>
      <c r="G97" s="21"/>
      <c r="H97" s="5"/>
    </row>
    <row r="98" spans="2:46" s="8" customFormat="1" ht="24.9" customHeight="1" x14ac:dyDescent="0.25">
      <c r="B98" s="246" t="str">
        <f>TITLE!$C$11</f>
        <v>Полотна каркасно-щитові: IDEA</v>
      </c>
      <c r="C98" s="244"/>
      <c r="D98" s="245"/>
      <c r="E98" s="245"/>
      <c r="F98" s="216"/>
      <c r="G98" s="216"/>
      <c r="H98" s="216"/>
      <c r="I98" s="217"/>
      <c r="J98" s="217"/>
      <c r="K98" s="217"/>
      <c r="L98" s="217"/>
      <c r="M98" s="217"/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185"/>
      <c r="AN98" s="123"/>
      <c r="AO98" s="123"/>
      <c r="AP98" s="123"/>
      <c r="AQ98" s="123"/>
      <c r="AR98" s="123"/>
      <c r="AS98" s="123"/>
      <c r="AT98" s="123"/>
    </row>
    <row r="99" spans="2:46" s="8" customFormat="1" x14ac:dyDescent="0.25">
      <c r="B99" s="83"/>
      <c r="C99" s="162"/>
      <c r="D99" s="247"/>
      <c r="E99" s="247"/>
      <c r="F99" s="247"/>
      <c r="G99" s="247"/>
      <c r="H99" s="10"/>
      <c r="T99" s="90"/>
      <c r="U99" s="90"/>
      <c r="V99" s="90"/>
      <c r="W99" s="90"/>
      <c r="AN99" s="123"/>
      <c r="AO99" s="123"/>
      <c r="AP99" s="123"/>
      <c r="AQ99" s="123"/>
      <c r="AR99" s="123"/>
      <c r="AS99" s="123"/>
      <c r="AT99" s="123"/>
    </row>
    <row r="100" spans="2:46" x14ac:dyDescent="0.25">
      <c r="B100" s="186"/>
      <c r="C100" s="193" t="str">
        <f>IF($C$1="ENG","model:","модель:")</f>
        <v>модель:</v>
      </c>
      <c r="D100" s="186"/>
      <c r="E100" s="196" t="s">
        <v>23</v>
      </c>
      <c r="F100" s="188"/>
      <c r="G100" s="196" t="s">
        <v>19</v>
      </c>
      <c r="H100" s="188"/>
      <c r="I100" s="196" t="s">
        <v>20</v>
      </c>
      <c r="J100" s="188"/>
      <c r="K100" s="196" t="s">
        <v>22</v>
      </c>
      <c r="L100" s="188"/>
      <c r="M100" s="196" t="s">
        <v>24</v>
      </c>
      <c r="N100" s="188"/>
      <c r="O100" s="248"/>
      <c r="P100" s="186"/>
      <c r="Q100" s="186"/>
      <c r="R100" s="186"/>
      <c r="S100" s="186"/>
      <c r="T100" s="186"/>
      <c r="U100" s="186"/>
      <c r="V100" s="186"/>
      <c r="W100" s="186"/>
      <c r="X100" s="186"/>
    </row>
    <row r="101" spans="2:46" x14ac:dyDescent="0.25">
      <c r="B101" s="186"/>
      <c r="C101" s="187"/>
      <c r="D101" s="186"/>
      <c r="E101" s="197"/>
      <c r="F101" s="186"/>
      <c r="G101" s="197"/>
      <c r="H101" s="186"/>
      <c r="I101" s="197"/>
      <c r="J101" s="186"/>
      <c r="K101" s="197"/>
      <c r="L101" s="186"/>
      <c r="M101" s="197"/>
      <c r="N101" s="186"/>
      <c r="O101" s="200"/>
      <c r="P101" s="186"/>
      <c r="Q101" s="186"/>
      <c r="R101" s="186"/>
      <c r="S101" s="186"/>
      <c r="T101" s="186"/>
      <c r="U101" s="186"/>
      <c r="V101" s="186"/>
      <c r="W101" s="186"/>
      <c r="X101" s="186"/>
    </row>
    <row r="102" spans="2:46" x14ac:dyDescent="0.25">
      <c r="B102" s="186"/>
      <c r="C102" s="187"/>
      <c r="D102" s="186"/>
      <c r="E102" s="197"/>
      <c r="F102" s="186"/>
      <c r="G102" s="197"/>
      <c r="H102" s="186"/>
      <c r="I102" s="197"/>
      <c r="J102" s="186"/>
      <c r="K102" s="197"/>
      <c r="L102" s="186"/>
      <c r="M102" s="197"/>
      <c r="N102" s="186"/>
      <c r="O102" s="200"/>
      <c r="P102" s="186"/>
      <c r="Q102" s="186"/>
      <c r="R102" s="186"/>
      <c r="S102" s="186"/>
      <c r="T102" s="186"/>
      <c r="U102" s="186"/>
      <c r="V102" s="186"/>
      <c r="W102" s="186"/>
      <c r="X102" s="186"/>
    </row>
    <row r="103" spans="2:46" x14ac:dyDescent="0.25">
      <c r="B103" s="186"/>
      <c r="C103" s="187"/>
      <c r="D103" s="186"/>
      <c r="E103" s="197"/>
      <c r="F103" s="186"/>
      <c r="G103" s="197"/>
      <c r="H103" s="186"/>
      <c r="I103" s="197"/>
      <c r="J103" s="186"/>
      <c r="K103" s="197"/>
      <c r="L103" s="186"/>
      <c r="M103" s="197"/>
      <c r="N103" s="186"/>
      <c r="O103" s="200"/>
      <c r="P103" s="186"/>
      <c r="Q103" s="186"/>
      <c r="R103" s="186"/>
      <c r="S103" s="186"/>
      <c r="T103" s="186"/>
      <c r="U103" s="186"/>
      <c r="V103" s="186"/>
      <c r="W103" s="186"/>
      <c r="X103" s="186"/>
    </row>
    <row r="104" spans="2:46" x14ac:dyDescent="0.25">
      <c r="B104" s="186"/>
      <c r="C104" s="187"/>
      <c r="D104" s="186"/>
      <c r="E104" s="197"/>
      <c r="F104" s="186"/>
      <c r="G104" s="197"/>
      <c r="H104" s="186"/>
      <c r="I104" s="197"/>
      <c r="J104" s="186"/>
      <c r="K104" s="197"/>
      <c r="L104" s="186"/>
      <c r="M104" s="197"/>
      <c r="N104" s="186"/>
      <c r="O104" s="200"/>
      <c r="P104" s="186"/>
      <c r="Q104" s="186"/>
      <c r="R104" s="186"/>
      <c r="S104" s="186"/>
      <c r="T104" s="186"/>
      <c r="U104" s="186"/>
      <c r="V104" s="186"/>
      <c r="W104" s="186"/>
      <c r="X104" s="186"/>
    </row>
    <row r="105" spans="2:46" x14ac:dyDescent="0.25">
      <c r="B105" s="186"/>
      <c r="C105" s="187"/>
      <c r="D105" s="186"/>
      <c r="E105" s="197"/>
      <c r="F105" s="186"/>
      <c r="G105" s="197"/>
      <c r="H105" s="186"/>
      <c r="I105" s="197"/>
      <c r="J105" s="186"/>
      <c r="K105" s="197"/>
      <c r="L105" s="186"/>
      <c r="M105" s="197"/>
      <c r="N105" s="186"/>
      <c r="O105" s="200"/>
      <c r="P105" s="186"/>
      <c r="Q105" s="186"/>
      <c r="R105" s="186"/>
      <c r="S105" s="186"/>
      <c r="T105" s="186"/>
      <c r="U105" s="186"/>
      <c r="V105" s="186"/>
      <c r="W105" s="186"/>
      <c r="X105" s="186"/>
    </row>
    <row r="106" spans="2:46" x14ac:dyDescent="0.25">
      <c r="B106" s="186"/>
      <c r="C106" s="187"/>
      <c r="D106" s="186"/>
      <c r="E106" s="197"/>
      <c r="F106" s="186"/>
      <c r="G106" s="197"/>
      <c r="H106" s="186"/>
      <c r="I106" s="197"/>
      <c r="J106" s="186"/>
      <c r="K106" s="197"/>
      <c r="L106" s="186"/>
      <c r="M106" s="197"/>
      <c r="N106" s="186"/>
      <c r="O106" s="200"/>
      <c r="P106" s="186"/>
      <c r="Q106" s="186"/>
      <c r="R106" s="186"/>
      <c r="S106" s="186"/>
      <c r="T106" s="186"/>
      <c r="U106" s="186"/>
      <c r="V106" s="186"/>
      <c r="W106" s="186"/>
      <c r="X106" s="186"/>
    </row>
    <row r="107" spans="2:46" x14ac:dyDescent="0.25">
      <c r="B107" s="186"/>
      <c r="C107" s="187"/>
      <c r="D107" s="186"/>
      <c r="E107" s="197"/>
      <c r="F107" s="186"/>
      <c r="G107" s="197"/>
      <c r="H107" s="186"/>
      <c r="I107" s="197"/>
      <c r="J107" s="186"/>
      <c r="K107" s="197"/>
      <c r="L107" s="186"/>
      <c r="M107" s="197"/>
      <c r="N107" s="186"/>
      <c r="O107" s="200"/>
      <c r="P107" s="186"/>
      <c r="Q107" s="186"/>
      <c r="R107" s="186"/>
      <c r="S107" s="186"/>
      <c r="T107" s="186"/>
      <c r="U107" s="186"/>
      <c r="V107" s="186"/>
      <c r="W107" s="186"/>
      <c r="X107" s="186"/>
    </row>
    <row r="108" spans="2:46" x14ac:dyDescent="0.25">
      <c r="B108" s="186"/>
      <c r="C108" s="1"/>
      <c r="D108" s="186"/>
      <c r="E108" s="197"/>
      <c r="F108" s="186"/>
      <c r="G108" s="197"/>
      <c r="H108" s="186"/>
      <c r="I108" s="197"/>
      <c r="J108" s="186"/>
      <c r="K108" s="197"/>
      <c r="L108" s="186"/>
      <c r="M108" s="197"/>
      <c r="N108" s="186"/>
      <c r="O108" s="200"/>
      <c r="P108" s="186"/>
      <c r="Q108" s="186"/>
      <c r="R108" s="186"/>
      <c r="S108" s="186"/>
      <c r="T108" s="186"/>
      <c r="U108" s="186"/>
      <c r="V108" s="186"/>
      <c r="W108" s="186"/>
      <c r="X108" s="186"/>
    </row>
    <row r="109" spans="2:46" x14ac:dyDescent="0.25">
      <c r="B109" s="186"/>
      <c r="C109" s="187" t="str">
        <f>IF($C$1="ENG","filling:","заповнення:")</f>
        <v>заповнення:</v>
      </c>
      <c r="D109" s="186"/>
      <c r="E109" s="198" t="str">
        <f>IF($C$1="ENG","honeycomb","сотове заповн.")</f>
        <v>сотове заповн.</v>
      </c>
      <c r="F109" s="189"/>
      <c r="G109" s="198" t="str">
        <f>IF($C$1="ENG","honeycomb","сотове заповн.")</f>
        <v>сотове заповн.</v>
      </c>
      <c r="H109" s="189"/>
      <c r="I109" s="198" t="str">
        <f>IF($C$1="ENG","honeycomb","сотове заповн.")</f>
        <v>сотове заповн.</v>
      </c>
      <c r="J109" s="189"/>
      <c r="K109" s="198" t="str">
        <f>IF($C$1="ENG","honeycomb","сотове заповн.")</f>
        <v>сотове заповн.</v>
      </c>
      <c r="L109" s="189"/>
      <c r="M109" s="198" t="str">
        <f>IF($C$1="ENG","honeycomb","сотове заповн.")</f>
        <v>сотове заповн.</v>
      </c>
      <c r="N109" s="189"/>
      <c r="O109" s="249"/>
      <c r="P109" s="186"/>
      <c r="Q109" s="186"/>
      <c r="R109" s="186"/>
      <c r="S109" s="186"/>
      <c r="T109" s="186"/>
      <c r="U109" s="186"/>
      <c r="V109" s="186"/>
      <c r="W109" s="186"/>
      <c r="X109" s="186"/>
    </row>
    <row r="110" spans="2:46" x14ac:dyDescent="0.25">
      <c r="B110" s="186"/>
      <c r="C110" s="187" t="str">
        <f>IF($C$1="ENG","glazing:","скління:")</f>
        <v>скління:</v>
      </c>
      <c r="D110" s="186"/>
      <c r="E110" s="198" t="str">
        <f>IF($C$1="ENG","-","-")</f>
        <v>-</v>
      </c>
      <c r="F110" s="189"/>
      <c r="G110" s="198" t="str">
        <f>IF($C$1="ENG","Satin","Сатин")</f>
        <v>Сатин</v>
      </c>
      <c r="H110" s="189"/>
      <c r="I110" s="198" t="str">
        <f>IF($C$1="ENG","Satin","Сатин")</f>
        <v>Сатин</v>
      </c>
      <c r="J110" s="189"/>
      <c r="K110" s="198" t="str">
        <f>IF($C$1="ENG","Satin","Сатин")</f>
        <v>Сатин</v>
      </c>
      <c r="L110" s="189"/>
      <c r="M110" s="198" t="str">
        <f>IF($C$1="ENG","Satin","Сатин")</f>
        <v>Сатин</v>
      </c>
      <c r="N110" s="189"/>
      <c r="O110" s="249"/>
      <c r="P110" s="186"/>
      <c r="Q110" s="186"/>
      <c r="R110" s="186"/>
      <c r="S110" s="186"/>
      <c r="T110" s="186"/>
      <c r="U110" s="186"/>
      <c r="V110" s="186"/>
      <c r="W110" s="186"/>
      <c r="X110" s="186"/>
    </row>
    <row r="111" spans="2:46" x14ac:dyDescent="0.25">
      <c r="D111" s="199"/>
      <c r="E111" s="197"/>
      <c r="F111" s="200"/>
      <c r="G111" s="197"/>
      <c r="H111" s="200"/>
      <c r="I111" s="197"/>
      <c r="J111" s="200"/>
      <c r="K111" s="197"/>
      <c r="L111" s="200"/>
      <c r="M111" s="197"/>
      <c r="N111" s="200"/>
      <c r="O111" s="200"/>
      <c r="P111" s="200"/>
      <c r="Q111" s="200"/>
      <c r="R111" s="200"/>
      <c r="S111" s="200"/>
      <c r="T111" s="200"/>
      <c r="U111" s="200"/>
      <c r="V111" s="200"/>
      <c r="W111" s="200"/>
      <c r="X111" s="186"/>
    </row>
    <row r="112" spans="2:46" s="190" customFormat="1" ht="21.75" customHeight="1" x14ac:dyDescent="0.25">
      <c r="B112" s="241" t="str">
        <f>IF($C$1="ENG","PRICE","ЦІНА")</f>
        <v>ЦІНА</v>
      </c>
      <c r="C112" s="242" t="str">
        <f>IF($C$1="ENG",IF($W$5=0.2,"with VAT","no VAT"),IF($W$5=0.2,"з ПДВ","без ПДВ"))</f>
        <v>з ПДВ</v>
      </c>
      <c r="D112" s="191"/>
      <c r="E112" s="243"/>
      <c r="F112" s="191"/>
      <c r="G112" s="243"/>
      <c r="H112" s="191"/>
      <c r="I112" s="243"/>
      <c r="J112" s="191"/>
      <c r="K112" s="243"/>
      <c r="L112" s="191"/>
      <c r="M112" s="243"/>
      <c r="N112" s="191"/>
      <c r="O112" s="194"/>
      <c r="P112" s="191"/>
      <c r="Q112" s="191"/>
      <c r="R112" s="191"/>
      <c r="S112" s="191"/>
      <c r="T112" s="191"/>
      <c r="U112" s="191"/>
      <c r="V112" s="191"/>
      <c r="W112" s="191"/>
      <c r="X112" s="191"/>
      <c r="AN112" s="192"/>
      <c r="AO112" s="192"/>
      <c r="AP112" s="192"/>
      <c r="AQ112" s="192"/>
      <c r="AR112" s="192"/>
      <c r="AS112" s="192"/>
      <c r="AT112" s="192"/>
    </row>
    <row r="113" spans="2:46" s="190" customFormat="1" ht="24.9" customHeight="1" x14ac:dyDescent="0.25">
      <c r="B113" s="201" t="str">
        <f>IF($C$1="ENG","Cover:","Покриття:")</f>
        <v>Покриття:</v>
      </c>
      <c r="C113" s="202" t="str">
        <f>IF($C$1="ENG","SIMPLEX / Verto-CELL","SIMPLEX / Verto-CELL")</f>
        <v>SIMPLEX / Verto-CELL</v>
      </c>
      <c r="D113" s="203">
        <f>IF(AC113="","",(1-$W$2)*(AC113/1.2))</f>
        <v>2283.3333333333335</v>
      </c>
      <c r="E113" s="204">
        <f>IF($W$5=0.2,D113*1.2,D113)/$W$4</f>
        <v>2740</v>
      </c>
      <c r="F113" s="203">
        <f>IF(AD113="","",(1-$W$2)*(AD113/1.2))</f>
        <v>4391.666666666667</v>
      </c>
      <c r="G113" s="204">
        <f>IF($W$5=0.2,F113*1.2,F113)/$W$4</f>
        <v>5270</v>
      </c>
      <c r="H113" s="203">
        <f>IF(AE113="","",(1-$W$2)*(AE113/1.2))</f>
        <v>4575</v>
      </c>
      <c r="I113" s="204">
        <f>IF($W$5=0.2,H113*1.2,H113)/$W$4</f>
        <v>5490</v>
      </c>
      <c r="J113" s="203">
        <f>IF(AF113="","",(1-$W$2)*(AF113/1.2))</f>
        <v>4995.8333333333339</v>
      </c>
      <c r="K113" s="204">
        <f>IF($W$5=0.2,J113*1.2,J113)/$W$4</f>
        <v>5995.0000000000009</v>
      </c>
      <c r="L113" s="203">
        <f>IF(AG113="","",(1-$W$2)*(AG113/1.2))</f>
        <v>3825</v>
      </c>
      <c r="M113" s="204">
        <f>IF($W$5=0.2,L113*1.2,L113)/$W$4</f>
        <v>4590</v>
      </c>
      <c r="N113" s="203"/>
      <c r="O113" s="205"/>
      <c r="P113" s="203"/>
      <c r="Q113" s="205"/>
      <c r="R113" s="203"/>
      <c r="S113" s="205"/>
      <c r="T113" s="203"/>
      <c r="U113" s="205"/>
      <c r="V113" s="203"/>
      <c r="W113" s="205"/>
      <c r="X113" s="191"/>
      <c r="AB113" s="195" t="str">
        <f>C113</f>
        <v>SIMPLEX / Verto-CELL</v>
      </c>
      <c r="AC113" s="219">
        <v>2740</v>
      </c>
      <c r="AD113" s="219">
        <v>5270</v>
      </c>
      <c r="AE113" s="219">
        <v>5490</v>
      </c>
      <c r="AF113" s="219">
        <v>5995</v>
      </c>
      <c r="AG113" s="219">
        <v>4590</v>
      </c>
      <c r="AH113" s="219"/>
      <c r="AN113" s="192"/>
      <c r="AO113" s="192"/>
      <c r="AP113" s="192"/>
      <c r="AQ113" s="192"/>
      <c r="AR113" s="192"/>
      <c r="AS113" s="192"/>
      <c r="AT113" s="192"/>
    </row>
    <row r="114" spans="2:46" s="190" customFormat="1" ht="24.9" customHeight="1" x14ac:dyDescent="0.25">
      <c r="B114" s="254"/>
      <c r="C114" s="255" t="str">
        <f>IF($C$1="ENG","UNI-MAT","UNI-MAT")</f>
        <v>UNI-MAT</v>
      </c>
      <c r="D114" s="256">
        <f>IF(AC114="","",(1-$W$2)*(AC114/1.2))</f>
        <v>2625</v>
      </c>
      <c r="E114" s="257">
        <f>IF($W$5=0.2,D114*1.2,D114)/$W$4</f>
        <v>3150</v>
      </c>
      <c r="F114" s="256">
        <f>IF(AD114="","",(1-$W$2)*(AD114/1.2))</f>
        <v>5050</v>
      </c>
      <c r="G114" s="257">
        <f>IF($W$5=0.2,F114*1.2,F114)/$W$4</f>
        <v>6060</v>
      </c>
      <c r="H114" s="256">
        <f>IF(AE114="","",(1-$W$2)*(AE114/1.2))</f>
        <v>5275</v>
      </c>
      <c r="I114" s="257">
        <f>IF($W$5=0.2,H114*1.2,H114)/$W$4</f>
        <v>6330</v>
      </c>
      <c r="J114" s="256">
        <f>IF(AF114="","",(1-$W$2)*(AF114/1.2))</f>
        <v>5750</v>
      </c>
      <c r="K114" s="257">
        <f>IF($W$5=0.2,J114*1.2,J114)/$W$4</f>
        <v>6900</v>
      </c>
      <c r="L114" s="256">
        <f>IF(AG114="","",(1-$W$2)*(AG114/1.2))</f>
        <v>4391.666666666667</v>
      </c>
      <c r="M114" s="257">
        <f>IF($W$5=0.2,L114*1.2,L114)/$W$4</f>
        <v>5270</v>
      </c>
      <c r="N114" s="256"/>
      <c r="O114" s="258"/>
      <c r="P114" s="256"/>
      <c r="Q114" s="258"/>
      <c r="R114" s="256"/>
      <c r="S114" s="258"/>
      <c r="T114" s="256"/>
      <c r="U114" s="258"/>
      <c r="V114" s="256"/>
      <c r="W114" s="258"/>
      <c r="X114" s="191"/>
      <c r="AB114" s="195" t="str">
        <f>C114</f>
        <v>UNI-MAT</v>
      </c>
      <c r="AC114" s="219">
        <v>3150</v>
      </c>
      <c r="AD114" s="219">
        <v>6060</v>
      </c>
      <c r="AE114" s="219">
        <v>6330</v>
      </c>
      <c r="AF114" s="219">
        <v>6900</v>
      </c>
      <c r="AG114" s="219">
        <v>5270</v>
      </c>
      <c r="AH114" s="219"/>
      <c r="AN114" s="192"/>
      <c r="AO114" s="192"/>
      <c r="AP114" s="192"/>
      <c r="AQ114" s="192"/>
      <c r="AR114" s="192"/>
      <c r="AS114" s="192"/>
      <c r="AT114" s="192"/>
    </row>
    <row r="115" spans="2:46" s="190" customFormat="1" ht="24.9" customHeight="1" x14ac:dyDescent="0.25">
      <c r="B115" s="206"/>
      <c r="C115" s="207" t="str">
        <f>IF($C$1="ENG","RESIST","RESIST")</f>
        <v>RESIST</v>
      </c>
      <c r="D115" s="208">
        <f>IF(AC115="","",(1-$W$2)*(AC115/1.2))</f>
        <v>2908.3333333333335</v>
      </c>
      <c r="E115" s="209">
        <f>IF($W$5=0.2,D115*1.2,D115)/$W$4</f>
        <v>3490</v>
      </c>
      <c r="F115" s="208">
        <f>IF(AD115="","",(1-$W$2)*(AD115/1.2))</f>
        <v>5458.3333333333339</v>
      </c>
      <c r="G115" s="209">
        <f>IF($W$5=0.2,F115*1.2,F115)/$W$4</f>
        <v>6550.0000000000009</v>
      </c>
      <c r="H115" s="208">
        <f>IF(AE115="","",(1-$W$2)*(AE115/1.2))</f>
        <v>5575</v>
      </c>
      <c r="I115" s="209">
        <f>IF($W$5=0.2,H115*1.2,H115)/$W$4</f>
        <v>6690</v>
      </c>
      <c r="J115" s="208">
        <f>IF(AF115="","",(1-$W$2)*(AF115/1.2))</f>
        <v>6004.166666666667</v>
      </c>
      <c r="K115" s="209">
        <f>IF($W$5=0.2,J115*1.2,J115)/$W$4</f>
        <v>7205</v>
      </c>
      <c r="L115" s="208">
        <f>IF(AG115="","",(1-$W$2)*(AG115/1.2))</f>
        <v>4575</v>
      </c>
      <c r="M115" s="209">
        <f>IF($W$5=0.2,L115*1.2,L115)/$W$4</f>
        <v>5490</v>
      </c>
      <c r="N115" s="208"/>
      <c r="O115" s="210"/>
      <c r="P115" s="208"/>
      <c r="Q115" s="210"/>
      <c r="R115" s="208"/>
      <c r="S115" s="210"/>
      <c r="T115" s="208"/>
      <c r="U115" s="210"/>
      <c r="V115" s="208"/>
      <c r="W115" s="210"/>
      <c r="X115" s="191"/>
      <c r="AB115" s="195" t="str">
        <f>C115</f>
        <v>RESIST</v>
      </c>
      <c r="AC115" s="219">
        <v>3490</v>
      </c>
      <c r="AD115" s="219">
        <v>6550</v>
      </c>
      <c r="AE115" s="219">
        <v>6690</v>
      </c>
      <c r="AF115" s="219">
        <v>7205</v>
      </c>
      <c r="AG115" s="219">
        <v>5490</v>
      </c>
      <c r="AH115" s="219"/>
      <c r="AN115" s="192"/>
      <c r="AO115" s="192"/>
      <c r="AP115" s="192"/>
      <c r="AQ115" s="192"/>
      <c r="AR115" s="192"/>
      <c r="AS115" s="192"/>
      <c r="AT115" s="192"/>
    </row>
    <row r="116" spans="2:46" x14ac:dyDescent="0.25">
      <c r="B116" s="187"/>
      <c r="C116" s="1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86"/>
      <c r="Q116" s="186"/>
      <c r="R116" s="186"/>
      <c r="S116" s="186"/>
      <c r="T116" s="186"/>
      <c r="U116" s="186"/>
      <c r="V116" s="186"/>
      <c r="W116" s="186"/>
      <c r="X116" s="186"/>
    </row>
    <row r="117" spans="2:46" x14ac:dyDescent="0.25">
      <c r="B117" s="211" t="str">
        <f>IF($C$1="ENG","For additonal charge:","Послуги за додаткову плату:")</f>
        <v>Послуги за додаткову плату:</v>
      </c>
      <c r="C117" s="212"/>
      <c r="D117" s="213"/>
      <c r="E117" s="214" t="str">
        <f>CONCATENATE(B112," ",C112)</f>
        <v>ЦІНА з ПДВ</v>
      </c>
      <c r="F117" s="215"/>
      <c r="G117" s="215"/>
      <c r="H117" s="215"/>
      <c r="I117" s="215"/>
      <c r="J117" s="215"/>
      <c r="K117" s="215"/>
      <c r="L117" s="215"/>
      <c r="M117" s="215"/>
      <c r="N117" s="215"/>
      <c r="O117" s="215"/>
      <c r="P117" s="215"/>
      <c r="Q117" s="215"/>
      <c r="R117" s="215"/>
      <c r="S117" s="215"/>
      <c r="T117" s="215"/>
      <c r="U117" s="215"/>
      <c r="V117" s="215"/>
      <c r="W117" s="215"/>
      <c r="X117" s="186"/>
    </row>
    <row r="118" spans="2:46" x14ac:dyDescent="0.25">
      <c r="B118" s="187"/>
      <c r="C118" s="1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  <c r="P118" s="186"/>
      <c r="Q118" s="186"/>
      <c r="R118" s="186"/>
      <c r="S118" s="186"/>
      <c r="T118" s="186"/>
      <c r="U118" s="186"/>
      <c r="V118" s="186"/>
      <c r="W118" s="186"/>
      <c r="X118" s="186"/>
    </row>
    <row r="119" spans="2:46" ht="15" customHeight="1" x14ac:dyDescent="0.25">
      <c r="B119" s="224"/>
      <c r="C119" s="223" t="str">
        <f>IF($C$1="ENG","Ventilation sleeves (1 row)","вентиляційні віддушини (1ряд)")</f>
        <v>вентиляційні віддушини (1ряд)</v>
      </c>
      <c r="D119" s="236">
        <f>IF(AC119="","",(1-$W$2)*(AC119/1.2))</f>
        <v>241.66666666666669</v>
      </c>
      <c r="E119" s="227">
        <f>IF($W$5=0.2,D119*1.2,D119)/$W$4</f>
        <v>290</v>
      </c>
      <c r="F119" s="191"/>
      <c r="G119" s="229"/>
      <c r="H119" s="224"/>
      <c r="I119" s="223" t="str">
        <f>IF($C$1="ENG","door lock Soft","замок Soft")</f>
        <v>замок Soft</v>
      </c>
      <c r="J119" s="238">
        <f>IF(AF119="","",(1-$W$2)*(AF119/1.2))</f>
        <v>525</v>
      </c>
      <c r="K119" s="227">
        <f>IF($W$5=0.2,J119*1.2,J119)/$W$4</f>
        <v>630</v>
      </c>
      <c r="L119" s="191"/>
      <c r="M119" s="229"/>
      <c r="N119" s="224"/>
      <c r="O119" s="223" t="str">
        <f>IF($C$1="ENG","cylinder incert","циліндр несиметричний")</f>
        <v>циліндр несиметричний</v>
      </c>
      <c r="P119" s="236">
        <f>IF(AI119="","",(1-$W$2)*(AI119/1.2))</f>
        <v>375</v>
      </c>
      <c r="Q119" s="227">
        <f>IF($W$5=0.2,P119*1.2,P119)/$W$4</f>
        <v>450</v>
      </c>
      <c r="R119" s="186"/>
      <c r="S119" s="186"/>
      <c r="T119" s="186"/>
      <c r="U119" s="186"/>
      <c r="V119" s="186"/>
      <c r="W119" s="186"/>
      <c r="X119" s="186"/>
      <c r="AC119" s="218">
        <v>290</v>
      </c>
      <c r="AF119" s="218">
        <v>630</v>
      </c>
      <c r="AI119" s="218">
        <v>450</v>
      </c>
    </row>
    <row r="120" spans="2:46" ht="15" customHeight="1" x14ac:dyDescent="0.25">
      <c r="B120" s="225"/>
      <c r="C120" s="222" t="str">
        <f>IF($C$1="ENG","Ventilation cut","вентиляційний підріз")</f>
        <v>вентиляційний підріз</v>
      </c>
      <c r="D120" s="237">
        <f>IF(AC120="","",(1-$W$2)*(AC120/1.2))</f>
        <v>162.5</v>
      </c>
      <c r="E120" s="228">
        <f>IF($W$5=0.2,D120*1.2,D120)/$W$4</f>
        <v>195</v>
      </c>
      <c r="F120" s="191"/>
      <c r="G120" s="230"/>
      <c r="H120" s="225"/>
      <c r="I120" s="222" t="str">
        <f>IF($C$1="ENG","door lock Soft black","замок Soft чорн.")</f>
        <v>замок Soft чорн.</v>
      </c>
      <c r="J120" s="239">
        <f>IF(AF120="","",(1-$W$2)*(AF120/1.2))</f>
        <v>650</v>
      </c>
      <c r="K120" s="228">
        <f>IF($W$5=0.2,J120*1.2,J120)/$W$4</f>
        <v>780</v>
      </c>
      <c r="L120" s="191"/>
      <c r="M120" s="230"/>
      <c r="N120" s="225"/>
      <c r="O120" s="222" t="str">
        <f>IF($C$1="ENG","door hindge Prestige (1 unit)","завіса Prestige (1 шт)")</f>
        <v>завіса Prestige (1 шт)</v>
      </c>
      <c r="P120" s="240">
        <f>IF(AI120="","",(1-$W$2)*(AI120/1.2))</f>
        <v>250</v>
      </c>
      <c r="Q120" s="228">
        <f>IF($W$5=0.2,P120*1.2,P120)/$W$4</f>
        <v>300</v>
      </c>
      <c r="R120" s="186"/>
      <c r="S120" s="186"/>
      <c r="T120" s="186"/>
      <c r="U120" s="186"/>
      <c r="V120" s="186"/>
      <c r="W120" s="186"/>
      <c r="X120" s="186"/>
      <c r="AC120" s="218">
        <v>195</v>
      </c>
      <c r="AF120" s="218">
        <v>780</v>
      </c>
      <c r="AI120" s="218">
        <v>300</v>
      </c>
    </row>
    <row r="121" spans="2:46" ht="15" customHeight="1" x14ac:dyDescent="0.25">
      <c r="B121" s="225"/>
      <c r="C121" s="222" t="str">
        <f>IF($C$1="ENG","third door hindge","третя завіса")</f>
        <v>третя завіса</v>
      </c>
      <c r="D121" s="237">
        <f>IF(AC121="","",(1-$W$2)*(AC121/1.2))</f>
        <v>75</v>
      </c>
      <c r="E121" s="228">
        <f>IF($W$5=0.2,D121*1.2,D121)/$W$4</f>
        <v>90</v>
      </c>
      <c r="F121" s="191"/>
      <c r="G121" s="230"/>
      <c r="H121" s="225"/>
      <c r="I121" s="222" t="str">
        <f>IF($C$1="ENG","door lock Magnet","замок Magnet")</f>
        <v>замок Magnet</v>
      </c>
      <c r="J121" s="239">
        <f>IF(AF121="","",(1-$W$2)*(AF121/1.2))</f>
        <v>766.66666666666663</v>
      </c>
      <c r="K121" s="228">
        <f>IF($W$5=0.2,J121*1.2,J121)/$W$4</f>
        <v>919.99999999999989</v>
      </c>
      <c r="L121" s="191"/>
      <c r="M121" s="230"/>
      <c r="N121" s="225"/>
      <c r="O121" s="222" t="str">
        <f>IF($C$1="ENG","door hinge caps (1 set)","накладка на завіси (1 к-т)")</f>
        <v>накладка на завіси (1 к-т)</v>
      </c>
      <c r="P121" s="240">
        <f>IF(AI121="","",(1-$W$2)*(AI121/1.2))</f>
        <v>75</v>
      </c>
      <c r="Q121" s="228">
        <f>IF($W$5=0.2,P121*1.2,P121)/$W$4</f>
        <v>90</v>
      </c>
      <c r="R121" s="186"/>
      <c r="S121" s="186"/>
      <c r="T121" s="186"/>
      <c r="U121" s="186"/>
      <c r="V121" s="186"/>
      <c r="W121" s="186"/>
      <c r="X121" s="186"/>
      <c r="AC121" s="218">
        <v>90</v>
      </c>
      <c r="AF121" s="218">
        <v>919.99999999999989</v>
      </c>
      <c r="AI121" s="218">
        <v>90</v>
      </c>
    </row>
    <row r="122" spans="2:46" s="8" customFormat="1" ht="15" customHeight="1" x14ac:dyDescent="0.25">
      <c r="B122" s="226"/>
      <c r="C122" s="222" t="str">
        <f>IF($C$1="ENG","glazing Graphite / Bronze","скло Графіт / Бронза")</f>
        <v>скло Графіт / Бронза</v>
      </c>
      <c r="D122" s="237">
        <f>IF(AC122="","",(1-$W$2)*(AC122/1.2))</f>
        <v>525</v>
      </c>
      <c r="E122" s="228">
        <f>IF($W$5=0.2,D122*1.2,D122)/$W$4</f>
        <v>630</v>
      </c>
      <c r="F122" s="184"/>
      <c r="G122" s="231"/>
      <c r="H122" s="226"/>
      <c r="I122" s="222" t="str">
        <f>IF($C$1="ENG","door lock Magnet black","замок Magnet чорн.")</f>
        <v>замок Magnet чорн.</v>
      </c>
      <c r="J122" s="239">
        <f>IF(AF122="","",(1-$W$2)*(AF122/1.2))</f>
        <v>958.33333333333337</v>
      </c>
      <c r="K122" s="228">
        <f>IF($W$5=0.2,J122*1.2,J122)/$W$4</f>
        <v>1150</v>
      </c>
      <c r="L122" s="220"/>
      <c r="M122" s="233"/>
      <c r="N122" s="226"/>
      <c r="O122" s="222" t="str">
        <f>IF($C$1="ENG","door handle","дверна ручка")</f>
        <v>дверна ручка</v>
      </c>
      <c r="P122" s="237" t="str">
        <f>IF(AI122="","",(1-$W$2)*(AI122/1.2))</f>
        <v/>
      </c>
      <c r="Q122" s="235" t="str">
        <f>IF($C$1="ENG","see Handles Price","див. Таблицю Ручки")</f>
        <v>див. Таблицю Ручки</v>
      </c>
      <c r="AC122" s="218">
        <v>630</v>
      </c>
      <c r="AD122" s="1"/>
      <c r="AE122" s="1"/>
      <c r="AF122" s="218">
        <v>1150</v>
      </c>
      <c r="AG122" s="1"/>
      <c r="AH122" s="1"/>
      <c r="AI122" s="218"/>
      <c r="AN122" s="123"/>
      <c r="AO122" s="123"/>
      <c r="AP122" s="123"/>
      <c r="AQ122" s="123"/>
      <c r="AR122" s="123"/>
      <c r="AS122" s="123"/>
      <c r="AT122" s="123"/>
    </row>
    <row r="123" spans="2:46" ht="15" customHeight="1" x14ac:dyDescent="0.25">
      <c r="C123" s="1"/>
      <c r="F123" s="221"/>
      <c r="G123" s="232"/>
      <c r="H123" s="225"/>
      <c r="I123" s="222" t="str">
        <f>IF($C$1="ENG","door handle-lock (for sliding doors)","ручка-замок (для дверей купе)")</f>
        <v>ручка-замок (для дверей купе)</v>
      </c>
      <c r="J123" s="237">
        <f>IF(AF123="","",(1-$W$2)*(AF123/1.2))</f>
        <v>533.33333333333337</v>
      </c>
      <c r="K123" s="228">
        <f>IF($W$5=0.2,J123*1.2,J123)/$W$4</f>
        <v>640</v>
      </c>
      <c r="L123" s="190"/>
      <c r="M123" s="234"/>
      <c r="N123" s="234"/>
      <c r="O123" s="222" t="str">
        <f>IF($C$1="ENG","perforated chipboard","ДСП трубчасте")</f>
        <v>ДСП трубчасте</v>
      </c>
      <c r="P123" s="237">
        <f>IF(AI123="","",(1-$W$2)*(AI123/1.2))</f>
        <v>1250</v>
      </c>
      <c r="Q123" s="228">
        <f>IF($W$5=0.2,P123*1.2,P123)/$W$4</f>
        <v>1500</v>
      </c>
      <c r="AF123" s="218">
        <v>640</v>
      </c>
      <c r="AI123" s="218">
        <v>1500</v>
      </c>
      <c r="AN123" s="1"/>
    </row>
    <row r="124" spans="2:46" x14ac:dyDescent="0.25">
      <c r="C124" s="1"/>
      <c r="F124" s="21"/>
      <c r="G124" s="21"/>
      <c r="H124" s="10"/>
      <c r="I124" s="33"/>
      <c r="J124" s="33"/>
      <c r="K124" s="33"/>
      <c r="S124" s="132"/>
      <c r="T124" s="183"/>
      <c r="U124" s="183"/>
      <c r="V124" s="183"/>
      <c r="W124" s="183"/>
    </row>
    <row r="125" spans="2:46" s="8" customFormat="1" x14ac:dyDescent="0.25">
      <c r="B125" s="83"/>
      <c r="T125" s="82"/>
      <c r="U125" s="82"/>
      <c r="V125" s="82"/>
      <c r="W125" s="82"/>
      <c r="AN125" s="123"/>
      <c r="AO125" s="123"/>
      <c r="AP125" s="123"/>
      <c r="AQ125" s="123"/>
      <c r="AR125" s="123"/>
      <c r="AS125" s="123"/>
      <c r="AT125" s="123"/>
    </row>
    <row r="126" spans="2:46" x14ac:dyDescent="0.25">
      <c r="C126" s="110"/>
      <c r="D126" s="21"/>
      <c r="E126" s="21"/>
      <c r="F126" s="21"/>
      <c r="G126" s="21"/>
      <c r="H126" s="5"/>
    </row>
    <row r="127" spans="2:46" x14ac:dyDescent="0.25">
      <c r="C127" s="110"/>
      <c r="D127" s="21"/>
      <c r="E127" s="21"/>
      <c r="F127" s="21"/>
      <c r="G127" s="21"/>
      <c r="H127" s="5"/>
    </row>
    <row r="128" spans="2:46" s="8" customFormat="1" ht="24.9" customHeight="1" x14ac:dyDescent="0.25">
      <c r="B128" s="246" t="str">
        <f>TITLE!$C$12</f>
        <v>Полотна каркасно-щитові: IDEA-LOFT</v>
      </c>
      <c r="C128" s="244"/>
      <c r="D128" s="245"/>
      <c r="E128" s="245"/>
      <c r="F128" s="216"/>
      <c r="G128" s="216"/>
      <c r="H128" s="216"/>
      <c r="I128" s="217"/>
      <c r="J128" s="217"/>
      <c r="K128" s="217"/>
      <c r="L128" s="217"/>
      <c r="M128" s="217"/>
      <c r="N128" s="217"/>
      <c r="O128" s="217"/>
      <c r="P128" s="217"/>
      <c r="Q128" s="217"/>
      <c r="R128" s="217"/>
      <c r="S128" s="217"/>
      <c r="T128" s="217"/>
      <c r="U128" s="217"/>
      <c r="V128" s="217"/>
      <c r="W128" s="217"/>
      <c r="X128" s="185"/>
      <c r="AN128" s="123"/>
      <c r="AO128" s="123"/>
      <c r="AP128" s="123"/>
      <c r="AQ128" s="123"/>
      <c r="AR128" s="123"/>
      <c r="AS128" s="123"/>
      <c r="AT128" s="123"/>
    </row>
    <row r="129" spans="2:46" s="8" customFormat="1" x14ac:dyDescent="0.25">
      <c r="B129" s="83"/>
      <c r="C129" s="162"/>
      <c r="D129" s="247"/>
      <c r="E129" s="247"/>
      <c r="F129" s="247"/>
      <c r="G129" s="247"/>
      <c r="H129" s="10"/>
      <c r="T129" s="90"/>
      <c r="U129" s="90"/>
      <c r="V129" s="90"/>
      <c r="W129" s="90"/>
      <c r="AN129" s="123"/>
      <c r="AO129" s="123"/>
      <c r="AP129" s="123"/>
      <c r="AQ129" s="123"/>
      <c r="AR129" s="123"/>
      <c r="AS129" s="123"/>
      <c r="AT129" s="123"/>
    </row>
    <row r="130" spans="2:46" x14ac:dyDescent="0.25">
      <c r="B130" s="186"/>
      <c r="C130" s="193" t="str">
        <f>IF($C$1="ENG","model:","модель:")</f>
        <v>модель:</v>
      </c>
      <c r="D130" s="186"/>
      <c r="E130" s="196" t="s">
        <v>23</v>
      </c>
      <c r="F130" s="188"/>
      <c r="G130" s="248"/>
      <c r="H130" s="248"/>
      <c r="I130" s="248"/>
      <c r="J130" s="248"/>
      <c r="K130" s="248"/>
      <c r="L130" s="248"/>
      <c r="M130" s="248"/>
      <c r="N130" s="188"/>
      <c r="O130" s="248"/>
      <c r="P130" s="186"/>
      <c r="Q130" s="186"/>
      <c r="R130" s="186"/>
      <c r="S130" s="186"/>
      <c r="T130" s="186"/>
      <c r="U130" s="186"/>
      <c r="V130" s="186"/>
      <c r="W130" s="186"/>
      <c r="X130" s="186"/>
    </row>
    <row r="131" spans="2:46" x14ac:dyDescent="0.25">
      <c r="B131" s="186"/>
      <c r="C131" s="187"/>
      <c r="D131" s="186"/>
      <c r="E131" s="197"/>
      <c r="F131" s="186"/>
      <c r="G131" s="200"/>
      <c r="H131" s="200"/>
      <c r="I131" s="200"/>
      <c r="J131" s="200"/>
      <c r="K131" s="200"/>
      <c r="L131" s="200"/>
      <c r="M131" s="200"/>
      <c r="N131" s="186"/>
      <c r="O131" s="200"/>
      <c r="P131" s="186"/>
      <c r="Q131" s="186"/>
      <c r="R131" s="186"/>
      <c r="S131" s="186"/>
      <c r="T131" s="186"/>
      <c r="U131" s="186"/>
      <c r="V131" s="186"/>
      <c r="W131" s="186"/>
      <c r="X131" s="186"/>
    </row>
    <row r="132" spans="2:46" x14ac:dyDescent="0.25">
      <c r="B132" s="186"/>
      <c r="C132" s="187"/>
      <c r="D132" s="186"/>
      <c r="E132" s="197"/>
      <c r="F132" s="186"/>
      <c r="G132" s="200"/>
      <c r="H132" s="200"/>
      <c r="I132" s="200"/>
      <c r="J132" s="200"/>
      <c r="K132" s="200"/>
      <c r="L132" s="200"/>
      <c r="M132" s="200"/>
      <c r="N132" s="186"/>
      <c r="O132" s="200"/>
      <c r="P132" s="186"/>
      <c r="Q132" s="186"/>
      <c r="R132" s="186"/>
      <c r="S132" s="186"/>
      <c r="T132" s="186"/>
      <c r="U132" s="186"/>
      <c r="V132" s="186"/>
      <c r="W132" s="186"/>
      <c r="X132" s="186"/>
    </row>
    <row r="133" spans="2:46" x14ac:dyDescent="0.25">
      <c r="B133" s="186"/>
      <c r="C133" s="187"/>
      <c r="D133" s="186"/>
      <c r="E133" s="197"/>
      <c r="F133" s="186"/>
      <c r="G133" s="200"/>
      <c r="H133" s="200"/>
      <c r="I133" s="200"/>
      <c r="J133" s="200"/>
      <c r="K133" s="200"/>
      <c r="L133" s="200"/>
      <c r="M133" s="200"/>
      <c r="N133" s="186"/>
      <c r="O133" s="200"/>
      <c r="P133" s="186"/>
      <c r="Q133" s="186"/>
      <c r="R133" s="186"/>
      <c r="S133" s="186"/>
      <c r="T133" s="186"/>
      <c r="U133" s="186"/>
      <c r="V133" s="186"/>
      <c r="W133" s="186"/>
      <c r="X133" s="186"/>
    </row>
    <row r="134" spans="2:46" x14ac:dyDescent="0.25">
      <c r="B134" s="186"/>
      <c r="C134" s="187"/>
      <c r="D134" s="186"/>
      <c r="E134" s="197"/>
      <c r="F134" s="186"/>
      <c r="G134" s="200"/>
      <c r="H134" s="200"/>
      <c r="I134" s="200"/>
      <c r="J134" s="200"/>
      <c r="K134" s="200"/>
      <c r="L134" s="200"/>
      <c r="M134" s="200"/>
      <c r="N134" s="186"/>
      <c r="O134" s="200"/>
      <c r="P134" s="186"/>
      <c r="Q134" s="186"/>
      <c r="R134" s="186"/>
      <c r="S134" s="186"/>
      <c r="T134" s="186"/>
      <c r="U134" s="186"/>
      <c r="V134" s="186"/>
      <c r="W134" s="186"/>
      <c r="X134" s="186"/>
    </row>
    <row r="135" spans="2:46" x14ac:dyDescent="0.25">
      <c r="B135" s="186"/>
      <c r="C135" s="187"/>
      <c r="D135" s="186"/>
      <c r="E135" s="197"/>
      <c r="F135" s="186"/>
      <c r="G135" s="200"/>
      <c r="H135" s="200"/>
      <c r="I135" s="200"/>
      <c r="J135" s="200"/>
      <c r="K135" s="200"/>
      <c r="L135" s="200"/>
      <c r="M135" s="200"/>
      <c r="N135" s="186"/>
      <c r="O135" s="200"/>
      <c r="P135" s="186"/>
      <c r="Q135" s="186"/>
      <c r="R135" s="186"/>
      <c r="S135" s="186"/>
      <c r="T135" s="186"/>
      <c r="U135" s="186"/>
      <c r="V135" s="186"/>
      <c r="W135" s="186"/>
      <c r="X135" s="186"/>
    </row>
    <row r="136" spans="2:46" x14ac:dyDescent="0.25">
      <c r="B136" s="186"/>
      <c r="C136" s="187"/>
      <c r="D136" s="186"/>
      <c r="E136" s="197"/>
      <c r="F136" s="186"/>
      <c r="G136" s="200"/>
      <c r="H136" s="200"/>
      <c r="I136" s="200"/>
      <c r="J136" s="200"/>
      <c r="K136" s="200"/>
      <c r="L136" s="200"/>
      <c r="M136" s="200"/>
      <c r="N136" s="186"/>
      <c r="O136" s="200"/>
      <c r="P136" s="186"/>
      <c r="Q136" s="186"/>
      <c r="R136" s="186"/>
      <c r="S136" s="186"/>
      <c r="T136" s="186"/>
      <c r="U136" s="186"/>
      <c r="V136" s="186"/>
      <c r="W136" s="186"/>
      <c r="X136" s="186"/>
    </row>
    <row r="137" spans="2:46" x14ac:dyDescent="0.25">
      <c r="B137" s="186"/>
      <c r="C137" s="187"/>
      <c r="D137" s="186"/>
      <c r="E137" s="197"/>
      <c r="F137" s="186"/>
      <c r="G137" s="200"/>
      <c r="H137" s="200"/>
      <c r="I137" s="200"/>
      <c r="J137" s="200"/>
      <c r="K137" s="200"/>
      <c r="L137" s="200"/>
      <c r="M137" s="200"/>
      <c r="N137" s="186"/>
      <c r="O137" s="200"/>
      <c r="P137" s="186"/>
      <c r="Q137" s="186"/>
      <c r="R137" s="186"/>
      <c r="S137" s="186"/>
      <c r="T137" s="186"/>
      <c r="U137" s="186"/>
      <c r="V137" s="186"/>
      <c r="W137" s="186"/>
      <c r="X137" s="186"/>
    </row>
    <row r="138" spans="2:46" x14ac:dyDescent="0.25">
      <c r="B138" s="186"/>
      <c r="C138" s="1"/>
      <c r="D138" s="186"/>
      <c r="E138" s="197"/>
      <c r="F138" s="186"/>
      <c r="G138" s="200"/>
      <c r="H138" s="200"/>
      <c r="I138" s="200"/>
      <c r="J138" s="200"/>
      <c r="K138" s="200"/>
      <c r="L138" s="200"/>
      <c r="M138" s="200"/>
      <c r="N138" s="186"/>
      <c r="O138" s="200"/>
      <c r="P138" s="186"/>
      <c r="Q138" s="186"/>
      <c r="R138" s="186"/>
      <c r="S138" s="186"/>
      <c r="T138" s="186"/>
      <c r="U138" s="186"/>
      <c r="V138" s="186"/>
      <c r="W138" s="186"/>
      <c r="X138" s="186"/>
    </row>
    <row r="139" spans="2:46" x14ac:dyDescent="0.25">
      <c r="B139" s="186"/>
      <c r="C139" s="187" t="str">
        <f>IF($C$1="ENG","filling:","заповнення:")</f>
        <v>заповнення:</v>
      </c>
      <c r="D139" s="186"/>
      <c r="E139" s="198" t="str">
        <f>IF($C$1="ENG","honeycomb","сотове заповн.")</f>
        <v>сотове заповн.</v>
      </c>
      <c r="F139" s="189"/>
      <c r="G139" s="249"/>
      <c r="H139" s="249"/>
      <c r="I139" s="249"/>
      <c r="J139" s="249"/>
      <c r="K139" s="249"/>
      <c r="L139" s="249"/>
      <c r="M139" s="249"/>
      <c r="N139" s="189"/>
      <c r="O139" s="249"/>
      <c r="P139" s="186"/>
      <c r="Q139" s="186"/>
      <c r="R139" s="186"/>
      <c r="S139" s="186"/>
      <c r="T139" s="186"/>
      <c r="U139" s="186"/>
      <c r="V139" s="186"/>
      <c r="W139" s="186"/>
      <c r="X139" s="186"/>
    </row>
    <row r="140" spans="2:46" x14ac:dyDescent="0.25">
      <c r="B140" s="186"/>
      <c r="C140" s="187" t="str">
        <f>IF($C$1="ENG","glazing:","скління:")</f>
        <v>скління:</v>
      </c>
      <c r="D140" s="186"/>
      <c r="E140" s="198" t="str">
        <f>IF($C$1="ENG","-","-")</f>
        <v>-</v>
      </c>
      <c r="F140" s="189"/>
      <c r="G140" s="249"/>
      <c r="H140" s="249"/>
      <c r="I140" s="249"/>
      <c r="J140" s="249"/>
      <c r="K140" s="249"/>
      <c r="L140" s="249"/>
      <c r="M140" s="249"/>
      <c r="N140" s="189"/>
      <c r="O140" s="249"/>
      <c r="P140" s="186"/>
      <c r="Q140" s="186"/>
      <c r="R140" s="186"/>
      <c r="S140" s="186"/>
      <c r="T140" s="186"/>
      <c r="U140" s="186"/>
      <c r="V140" s="186"/>
      <c r="W140" s="186"/>
      <c r="X140" s="186"/>
    </row>
    <row r="141" spans="2:46" x14ac:dyDescent="0.25">
      <c r="D141" s="199"/>
      <c r="E141" s="197"/>
      <c r="F141" s="200"/>
      <c r="G141" s="200"/>
      <c r="H141" s="200"/>
      <c r="I141" s="200"/>
      <c r="J141" s="200"/>
      <c r="K141" s="200"/>
      <c r="L141" s="200"/>
      <c r="M141" s="200"/>
      <c r="N141" s="200"/>
      <c r="O141" s="200"/>
      <c r="P141" s="200"/>
      <c r="Q141" s="200"/>
      <c r="R141" s="200"/>
      <c r="S141" s="200"/>
      <c r="T141" s="200"/>
      <c r="U141" s="200"/>
      <c r="V141" s="200"/>
      <c r="W141" s="200"/>
      <c r="X141" s="186"/>
    </row>
    <row r="142" spans="2:46" s="190" customFormat="1" ht="15" customHeight="1" x14ac:dyDescent="0.25">
      <c r="B142" s="241" t="str">
        <f>IF($C$1="ENG","PRICE","ЦІНА")</f>
        <v>ЦІНА</v>
      </c>
      <c r="C142" s="242" t="str">
        <f>IF($C$1="ENG",IF($W$5=0.2,"with VAT","no VAT"),IF($W$5=0.2,"з ПДВ","без ПДВ"))</f>
        <v>з ПДВ</v>
      </c>
      <c r="D142" s="191"/>
      <c r="E142" s="243"/>
      <c r="F142" s="191"/>
      <c r="G142" s="194"/>
      <c r="H142" s="250"/>
      <c r="I142" s="194"/>
      <c r="J142" s="250"/>
      <c r="K142" s="194"/>
      <c r="L142" s="250"/>
      <c r="M142" s="194"/>
      <c r="N142" s="191"/>
      <c r="O142" s="194"/>
      <c r="P142" s="191"/>
      <c r="Q142" s="191"/>
      <c r="R142" s="191"/>
      <c r="S142" s="191"/>
      <c r="T142" s="191"/>
      <c r="U142" s="191"/>
      <c r="V142" s="191"/>
      <c r="W142" s="191"/>
      <c r="X142" s="191"/>
      <c r="AN142" s="192"/>
      <c r="AO142" s="192"/>
      <c r="AP142" s="192"/>
      <c r="AQ142" s="192"/>
      <c r="AR142" s="192"/>
      <c r="AS142" s="192"/>
      <c r="AT142" s="192"/>
    </row>
    <row r="143" spans="2:46" s="190" customFormat="1" ht="24.9" customHeight="1" x14ac:dyDescent="0.25">
      <c r="B143" s="201" t="str">
        <f>IF($C$1="ENG","Cover:","Покриття:")</f>
        <v>Покриття:</v>
      </c>
      <c r="C143" s="202" t="str">
        <f>IF($C$1="ENG","SIMPLEX / Verto-CELL","SIMPLEX / Verto-CELL")</f>
        <v>SIMPLEX / Verto-CELL</v>
      </c>
      <c r="D143" s="203">
        <f>IF(AC143="","",(1-$W$2)*(AC143/1.2))</f>
        <v>3125</v>
      </c>
      <c r="E143" s="204">
        <f>IF($W$5=0.2,D143*1.2,D143)/$W$4</f>
        <v>3750</v>
      </c>
      <c r="F143" s="203">
        <f>IF(AD143="","",(1-$W$2)*(AD143/1.2))</f>
        <v>3991.666666666667</v>
      </c>
      <c r="G143" s="324"/>
      <c r="H143" s="203"/>
      <c r="I143" s="205"/>
      <c r="J143" s="203"/>
      <c r="K143" s="205"/>
      <c r="L143" s="203"/>
      <c r="M143" s="205"/>
      <c r="N143" s="203"/>
      <c r="O143" s="205"/>
      <c r="P143" s="203"/>
      <c r="Q143" s="205"/>
      <c r="R143" s="203"/>
      <c r="S143" s="205"/>
      <c r="T143" s="203"/>
      <c r="U143" s="205"/>
      <c r="V143" s="203"/>
      <c r="W143" s="205"/>
      <c r="X143" s="191"/>
      <c r="AB143" s="195" t="str">
        <f>C143</f>
        <v>SIMPLEX / Verto-CELL</v>
      </c>
      <c r="AC143" s="219">
        <v>3750</v>
      </c>
      <c r="AD143" s="219">
        <v>4790</v>
      </c>
      <c r="AE143" s="219">
        <v>4990</v>
      </c>
      <c r="AF143" s="219">
        <v>5450</v>
      </c>
      <c r="AG143" s="219">
        <v>4170</v>
      </c>
      <c r="AH143" s="219"/>
      <c r="AN143" s="192"/>
      <c r="AO143" s="192"/>
      <c r="AP143" s="192"/>
      <c r="AQ143" s="192"/>
      <c r="AR143" s="192"/>
      <c r="AS143" s="192"/>
      <c r="AT143" s="192"/>
    </row>
    <row r="144" spans="2:46" s="190" customFormat="1" ht="24.9" customHeight="1" x14ac:dyDescent="0.25">
      <c r="B144" s="254"/>
      <c r="C144" s="255" t="str">
        <f>IF($C$1="ENG","UNI-MAT","UNI-MAT")</f>
        <v>UNI-MAT</v>
      </c>
      <c r="D144" s="256">
        <f>IF(AC144="","",(1-$W$2)*(AC144/1.2))</f>
        <v>3466.666666666667</v>
      </c>
      <c r="E144" s="257">
        <f>IF($W$5=0.2,D144*1.2,D144)/$W$4</f>
        <v>4160</v>
      </c>
      <c r="F144" s="256">
        <f>IF(AD144="","",(1-$W$2)*(AD144/1.2))</f>
        <v>4591.666666666667</v>
      </c>
      <c r="G144" s="325"/>
      <c r="H144" s="256"/>
      <c r="I144" s="258"/>
      <c r="J144" s="256"/>
      <c r="K144" s="258"/>
      <c r="L144" s="256"/>
      <c r="M144" s="258"/>
      <c r="N144" s="256"/>
      <c r="O144" s="258"/>
      <c r="P144" s="256"/>
      <c r="Q144" s="258"/>
      <c r="R144" s="256"/>
      <c r="S144" s="258"/>
      <c r="T144" s="256"/>
      <c r="U144" s="258"/>
      <c r="V144" s="256"/>
      <c r="W144" s="258"/>
      <c r="X144" s="191"/>
      <c r="AB144" s="195" t="str">
        <f>C144</f>
        <v>UNI-MAT</v>
      </c>
      <c r="AC144" s="219">
        <v>4160</v>
      </c>
      <c r="AD144" s="219">
        <v>5510</v>
      </c>
      <c r="AE144" s="219">
        <v>5750</v>
      </c>
      <c r="AF144" s="219">
        <v>6270</v>
      </c>
      <c r="AG144" s="219">
        <v>4790</v>
      </c>
      <c r="AH144" s="219"/>
      <c r="AN144" s="192"/>
      <c r="AO144" s="192"/>
      <c r="AP144" s="192"/>
      <c r="AQ144" s="192"/>
      <c r="AR144" s="192"/>
      <c r="AS144" s="192"/>
      <c r="AT144" s="192"/>
    </row>
    <row r="145" spans="2:46" s="190" customFormat="1" ht="24.9" customHeight="1" x14ac:dyDescent="0.25">
      <c r="B145" s="317"/>
      <c r="C145" s="318" t="str">
        <f>IF($C$1="ENG","RESIST","RESIST")</f>
        <v>RESIST</v>
      </c>
      <c r="D145" s="319">
        <f>IF(AC145="","",(1-$W$2)*(AC145/1.2))</f>
        <v>3750</v>
      </c>
      <c r="E145" s="320">
        <f>IF($W$5=0.2,D145*1.2,D145)/$W$4</f>
        <v>4500</v>
      </c>
      <c r="F145" s="319">
        <f>IF(AD145="","",(1-$W$2)*(AD145/1.2))</f>
        <v>4958.3333333333339</v>
      </c>
      <c r="G145" s="326"/>
      <c r="H145" s="319"/>
      <c r="I145" s="321"/>
      <c r="J145" s="319"/>
      <c r="K145" s="321"/>
      <c r="L145" s="319"/>
      <c r="M145" s="321"/>
      <c r="N145" s="319"/>
      <c r="O145" s="321"/>
      <c r="P145" s="319"/>
      <c r="Q145" s="321"/>
      <c r="R145" s="319"/>
      <c r="S145" s="321"/>
      <c r="T145" s="319"/>
      <c r="U145" s="321"/>
      <c r="V145" s="319"/>
      <c r="W145" s="321"/>
      <c r="X145" s="191"/>
      <c r="AB145" s="195" t="str">
        <f>C145</f>
        <v>RESIST</v>
      </c>
      <c r="AC145" s="219">
        <v>4500</v>
      </c>
      <c r="AD145" s="219">
        <v>5950</v>
      </c>
      <c r="AE145" s="219">
        <v>6080</v>
      </c>
      <c r="AF145" s="219">
        <v>6550</v>
      </c>
      <c r="AG145" s="219">
        <v>4990</v>
      </c>
      <c r="AH145" s="219"/>
      <c r="AN145" s="192"/>
      <c r="AO145" s="192"/>
      <c r="AP145" s="192"/>
      <c r="AQ145" s="192"/>
      <c r="AR145" s="192"/>
      <c r="AS145" s="192"/>
      <c r="AT145" s="192"/>
    </row>
    <row r="146" spans="2:46" s="190" customFormat="1" ht="24.9" customHeight="1" x14ac:dyDescent="0.25">
      <c r="B146" s="322"/>
      <c r="C146" s="323" t="str">
        <f>IF($C$1="ENG","LOFT","LOFT")</f>
        <v>LOFT</v>
      </c>
      <c r="D146" s="208">
        <f>IF(AC146="","",(1-$W$2)*(AC146/1.2))</f>
        <v>4391.666666666667</v>
      </c>
      <c r="E146" s="209">
        <f>IF($W$5=0.2,D146*1.2,D146)/$W$4</f>
        <v>5270</v>
      </c>
      <c r="F146" s="208"/>
      <c r="G146" s="327"/>
      <c r="H146" s="208"/>
      <c r="I146" s="210"/>
      <c r="J146" s="208"/>
      <c r="K146" s="210"/>
      <c r="L146" s="208"/>
      <c r="M146" s="210"/>
      <c r="N146" s="208"/>
      <c r="O146" s="210"/>
      <c r="P146" s="208"/>
      <c r="Q146" s="210"/>
      <c r="R146" s="208"/>
      <c r="S146" s="210"/>
      <c r="T146" s="208"/>
      <c r="U146" s="210"/>
      <c r="V146" s="208"/>
      <c r="W146" s="210"/>
      <c r="X146" s="191"/>
      <c r="AB146" s="195" t="str">
        <f>C146</f>
        <v>LOFT</v>
      </c>
      <c r="AC146" s="219">
        <v>5270</v>
      </c>
      <c r="AD146" s="219"/>
      <c r="AE146" s="219"/>
      <c r="AF146" s="219"/>
      <c r="AG146" s="219"/>
      <c r="AH146" s="219"/>
      <c r="AN146" s="192"/>
      <c r="AO146" s="192"/>
      <c r="AP146" s="192"/>
      <c r="AQ146" s="192"/>
      <c r="AR146" s="192"/>
      <c r="AS146" s="192"/>
      <c r="AT146" s="192"/>
    </row>
    <row r="147" spans="2:46" x14ac:dyDescent="0.25">
      <c r="B147" s="187"/>
      <c r="C147" s="1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  <c r="P147" s="186"/>
      <c r="Q147" s="186"/>
      <c r="R147" s="186"/>
      <c r="S147" s="186"/>
      <c r="T147" s="186"/>
      <c r="U147" s="186"/>
      <c r="V147" s="186"/>
      <c r="W147" s="186"/>
      <c r="X147" s="186"/>
    </row>
    <row r="148" spans="2:46" x14ac:dyDescent="0.25">
      <c r="B148" s="211" t="str">
        <f>IF($C$1="ENG","For additonal charge:","Послуги за додаткову плату:")</f>
        <v>Послуги за додаткову плату:</v>
      </c>
      <c r="C148" s="212"/>
      <c r="D148" s="213"/>
      <c r="E148" s="214" t="str">
        <f>CONCATENATE(B142," ",C142)</f>
        <v>ЦІНА з ПДВ</v>
      </c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186"/>
    </row>
    <row r="149" spans="2:46" x14ac:dyDescent="0.25">
      <c r="B149" s="187"/>
      <c r="C149" s="1"/>
      <c r="D149" s="186"/>
      <c r="E149" s="186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  <c r="P149" s="186"/>
      <c r="Q149" s="186"/>
      <c r="R149" s="186"/>
      <c r="S149" s="186"/>
      <c r="T149" s="186"/>
      <c r="U149" s="186"/>
      <c r="V149" s="186"/>
      <c r="W149" s="186"/>
      <c r="X149" s="186"/>
    </row>
    <row r="150" spans="2:46" ht="15" customHeight="1" x14ac:dyDescent="0.25">
      <c r="B150" s="224"/>
      <c r="C150" s="223" t="str">
        <f>IF($C$1="ENG","Ventilation sleeves (1 row)","вентиляційні віддушини (1ряд)")</f>
        <v>вентиляційні віддушини (1ряд)</v>
      </c>
      <c r="D150" s="236">
        <f>IF(AC150="","",(1-$W$2)*(AC150/1.2))</f>
        <v>241.66666666666669</v>
      </c>
      <c r="E150" s="227">
        <f>IF($W$5=0.2,D150*1.2,D150)/$W$4</f>
        <v>290</v>
      </c>
      <c r="F150" s="191"/>
      <c r="G150" s="229"/>
      <c r="H150" s="224"/>
      <c r="I150" s="223" t="str">
        <f>IF($C$1="ENG","cylinder incert","циліндр несиметричний")</f>
        <v>циліндр несиметричний</v>
      </c>
      <c r="J150" s="236">
        <f>IF(AF150="","",(1-$W$2)*(AF150/1.2))</f>
        <v>375</v>
      </c>
      <c r="K150" s="227">
        <f>IF($W$5=0.2,J150*1.2,J150)/$W$4</f>
        <v>450</v>
      </c>
      <c r="L150" s="191"/>
      <c r="M150" s="230"/>
      <c r="N150" s="225"/>
      <c r="O150" s="222" t="str">
        <f>IF($C$1="ENG","door hindge Prestige (1 unit)","завіса Prestige (1 шт)")</f>
        <v>завіса Prestige (1 шт)</v>
      </c>
      <c r="P150" s="240">
        <f>IF(AI150="","",(1-$W$2)*(AI150/1.2))</f>
        <v>250</v>
      </c>
      <c r="Q150" s="228">
        <f>IF($W$5=0.2,P150*1.2,P150)/$W$4</f>
        <v>300</v>
      </c>
      <c r="R150" s="186"/>
      <c r="S150" s="186"/>
      <c r="T150" s="186"/>
      <c r="U150" s="186"/>
      <c r="V150" s="186"/>
      <c r="W150" s="186"/>
      <c r="X150" s="186"/>
      <c r="AC150" s="218">
        <v>290</v>
      </c>
      <c r="AF150" s="218">
        <v>450</v>
      </c>
      <c r="AI150" s="218">
        <v>300</v>
      </c>
    </row>
    <row r="151" spans="2:46" ht="15" customHeight="1" x14ac:dyDescent="0.25">
      <c r="B151" s="225"/>
      <c r="C151" s="222" t="str">
        <f>IF($C$1="ENG","Ventilation cut","вентиляційний підріз")</f>
        <v>вентиляційний підріз</v>
      </c>
      <c r="D151" s="237">
        <f>IF(AC151="","",(1-$W$2)*(AC151/1.2))</f>
        <v>162.5</v>
      </c>
      <c r="E151" s="228">
        <f>IF($W$5=0.2,D151*1.2,D151)/$W$4</f>
        <v>195</v>
      </c>
      <c r="F151" s="191"/>
      <c r="G151" s="231"/>
      <c r="H151" s="226"/>
      <c r="I151" s="222" t="str">
        <f>IF($C$1="ENG","door lock Magnet black","замок Magnet чорн.")</f>
        <v>замок Magnet чорн.</v>
      </c>
      <c r="J151" s="239">
        <f>IF(AF151="","",(1-$W$2)*(AF151/1.2))</f>
        <v>958.33333333333337</v>
      </c>
      <c r="K151" s="228">
        <f>IF($W$5=0.2,J151*1.2,J151)/$W$4</f>
        <v>1150</v>
      </c>
      <c r="L151" s="191"/>
      <c r="M151" s="230"/>
      <c r="N151" s="226"/>
      <c r="O151" s="222" t="str">
        <f>IF($C$1="ENG","door handle","дверна ручка")</f>
        <v>дверна ручка</v>
      </c>
      <c r="P151" s="237" t="e">
        <f>IF(#REF!="","",(1-$W$2)*(#REF!/1.2))</f>
        <v>#REF!</v>
      </c>
      <c r="Q151" s="235" t="str">
        <f>IF($C$1="ENG","see Handles Price","див. Таблицю Ручки")</f>
        <v>див. Таблицю Ручки</v>
      </c>
      <c r="R151" s="186"/>
      <c r="S151" s="186"/>
      <c r="T151" s="186"/>
      <c r="U151" s="186"/>
      <c r="V151" s="186"/>
      <c r="W151" s="186"/>
      <c r="X151" s="186"/>
      <c r="AC151" s="218">
        <v>195</v>
      </c>
      <c r="AF151" s="218">
        <v>1150</v>
      </c>
      <c r="AI151" s="218">
        <v>90</v>
      </c>
    </row>
    <row r="152" spans="2:46" ht="15" customHeight="1" x14ac:dyDescent="0.25">
      <c r="B152" s="225"/>
      <c r="C152" s="222" t="str">
        <f>IF($C$1="ENG","third door hindge","третя завіса")</f>
        <v>третя завіса</v>
      </c>
      <c r="D152" s="237">
        <f>IF(AC152="","",(1-$W$2)*(AC152/1.2))</f>
        <v>75</v>
      </c>
      <c r="E152" s="228">
        <f>IF($W$5=0.2,D152*1.2,D152)/$W$4</f>
        <v>90</v>
      </c>
      <c r="F152" s="191"/>
      <c r="G152" s="232"/>
      <c r="H152" s="225"/>
      <c r="I152" s="222" t="str">
        <f>IF($C$1="ENG","door handle-lock (for sliding doors)","ручка-замок (для дверей купе)")</f>
        <v>ручка-замок (для дверей купе)</v>
      </c>
      <c r="J152" s="237">
        <f>IF(AF152="","",(1-$W$2)*(AF152/1.2))</f>
        <v>533.33333333333337</v>
      </c>
      <c r="K152" s="228">
        <f>IF($W$5=0.2,J152*1.2,J152)/$W$4</f>
        <v>640</v>
      </c>
      <c r="L152" s="191"/>
      <c r="M152" s="233"/>
      <c r="N152" s="234"/>
      <c r="O152" s="222" t="str">
        <f>IF($C$1="ENG","perforated chipboard","ДСП трубчасте")</f>
        <v>ДСП трубчасте</v>
      </c>
      <c r="P152" s="237">
        <f>IF(AI152="","",(1-$W$2)*(AI152/1.2))</f>
        <v>1250</v>
      </c>
      <c r="Q152" s="228">
        <f>IF($W$5=0.2,P152*1.2,P152)/$W$4</f>
        <v>1500</v>
      </c>
      <c r="R152" s="186"/>
      <c r="S152" s="186"/>
      <c r="T152" s="186"/>
      <c r="U152" s="186"/>
      <c r="V152" s="186"/>
      <c r="W152" s="186"/>
      <c r="X152" s="186"/>
      <c r="AC152" s="218">
        <v>90</v>
      </c>
      <c r="AF152" s="218">
        <v>640</v>
      </c>
      <c r="AI152" s="218">
        <v>1500</v>
      </c>
    </row>
    <row r="153" spans="2:46" s="8" customFormat="1" ht="15" customHeight="1" x14ac:dyDescent="0.25">
      <c r="B153" s="251"/>
      <c r="C153" s="252"/>
      <c r="D153" s="263"/>
      <c r="E153" s="253"/>
      <c r="F153" s="184"/>
      <c r="G153" s="314"/>
      <c r="H153" s="251"/>
      <c r="I153" s="252"/>
      <c r="J153" s="263"/>
      <c r="K153" s="253"/>
      <c r="L153" s="220"/>
      <c r="M153" s="315"/>
      <c r="AN153" s="123"/>
      <c r="AO153" s="123"/>
      <c r="AP153" s="123"/>
      <c r="AQ153" s="123"/>
      <c r="AR153" s="123"/>
      <c r="AS153" s="123"/>
      <c r="AT153" s="123"/>
    </row>
    <row r="154" spans="2:46" ht="15" customHeight="1" x14ac:dyDescent="0.25">
      <c r="C154" s="1"/>
      <c r="F154" s="221"/>
      <c r="K154" s="27"/>
      <c r="L154" s="316"/>
      <c r="M154" s="27"/>
      <c r="AN154" s="1"/>
    </row>
    <row r="155" spans="2:46" x14ac:dyDescent="0.25">
      <c r="C155" s="1"/>
      <c r="F155" s="21"/>
      <c r="G155" s="21"/>
      <c r="H155" s="10"/>
      <c r="I155" s="33"/>
      <c r="J155" s="33"/>
      <c r="K155" s="33"/>
      <c r="S155" s="132"/>
      <c r="T155" s="183"/>
      <c r="U155" s="183"/>
      <c r="V155" s="183"/>
      <c r="W155" s="183"/>
    </row>
    <row r="156" spans="2:46" s="8" customFormat="1" x14ac:dyDescent="0.25">
      <c r="B156" s="83"/>
      <c r="T156" s="82"/>
      <c r="U156" s="82"/>
      <c r="V156" s="82"/>
      <c r="W156" s="82"/>
      <c r="AN156" s="123"/>
      <c r="AO156" s="123"/>
      <c r="AP156" s="123"/>
      <c r="AQ156" s="123"/>
      <c r="AR156" s="123"/>
      <c r="AS156" s="123"/>
      <c r="AT156" s="123"/>
    </row>
    <row r="157" spans="2:46" s="8" customFormat="1" x14ac:dyDescent="0.25">
      <c r="B157" s="83"/>
      <c r="C157" s="10"/>
      <c r="D157" s="10"/>
      <c r="E157" s="10"/>
      <c r="F157" s="10"/>
      <c r="G157" s="10"/>
      <c r="H157" s="10"/>
      <c r="T157" s="82"/>
      <c r="U157" s="82"/>
      <c r="V157" s="82"/>
      <c r="W157" s="82"/>
      <c r="AN157" s="123"/>
      <c r="AO157" s="123"/>
      <c r="AP157" s="123"/>
      <c r="AQ157" s="123"/>
      <c r="AR157" s="123"/>
      <c r="AS157" s="123"/>
      <c r="AT157" s="123"/>
    </row>
    <row r="158" spans="2:46" x14ac:dyDescent="0.25">
      <c r="C158" s="110"/>
      <c r="D158" s="21"/>
      <c r="E158" s="21"/>
      <c r="F158" s="21"/>
      <c r="G158" s="21"/>
      <c r="H158" s="5"/>
    </row>
    <row r="159" spans="2:46" s="8" customFormat="1" ht="24.9" customHeight="1" x14ac:dyDescent="0.25">
      <c r="B159" s="246" t="str">
        <f>TITLE!C13</f>
        <v>Полотна каркасно-щитові: IDEA-ALUM</v>
      </c>
      <c r="C159" s="244"/>
      <c r="D159" s="245"/>
      <c r="E159" s="245"/>
      <c r="F159" s="216"/>
      <c r="G159" s="216"/>
      <c r="H159" s="216"/>
      <c r="I159" s="217"/>
      <c r="J159" s="217"/>
      <c r="K159" s="217"/>
      <c r="L159" s="217"/>
      <c r="M159" s="217"/>
      <c r="N159" s="217"/>
      <c r="O159" s="217"/>
      <c r="P159" s="217"/>
      <c r="Q159" s="217"/>
      <c r="R159" s="217"/>
      <c r="S159" s="217"/>
      <c r="T159" s="217"/>
      <c r="U159" s="217"/>
      <c r="V159" s="217"/>
      <c r="W159" s="217"/>
      <c r="X159" s="185"/>
      <c r="AN159" s="123"/>
      <c r="AO159" s="123" t="s">
        <v>68</v>
      </c>
      <c r="AP159" s="123">
        <v>325</v>
      </c>
      <c r="AQ159" s="123">
        <v>390</v>
      </c>
      <c r="AR159" s="123"/>
      <c r="AS159" s="123"/>
      <c r="AT159" s="123"/>
    </row>
    <row r="160" spans="2:46" s="8" customFormat="1" x14ac:dyDescent="0.25">
      <c r="B160" s="83"/>
      <c r="C160" s="162"/>
      <c r="D160" s="247"/>
      <c r="E160" s="247"/>
      <c r="F160" s="247"/>
      <c r="G160" s="247"/>
      <c r="H160" s="10"/>
      <c r="T160" s="90"/>
      <c r="U160" s="90"/>
      <c r="V160" s="90"/>
      <c r="W160" s="90"/>
      <c r="AN160" s="123"/>
      <c r="AO160" s="123" t="s">
        <v>69</v>
      </c>
      <c r="AP160" s="123">
        <v>216.66666666666669</v>
      </c>
      <c r="AQ160" s="123">
        <v>260</v>
      </c>
      <c r="AR160" s="123"/>
      <c r="AS160" s="123"/>
      <c r="AT160" s="123"/>
    </row>
    <row r="161" spans="2:46" x14ac:dyDescent="0.25">
      <c r="B161" s="186"/>
      <c r="C161" s="193" t="str">
        <f>IF($C$1="ENG","model:","модель:")</f>
        <v>модель:</v>
      </c>
      <c r="D161" s="186"/>
      <c r="E161" s="196">
        <v>1</v>
      </c>
      <c r="F161" s="188"/>
      <c r="G161" s="196">
        <v>2</v>
      </c>
      <c r="H161" s="188"/>
      <c r="I161" s="248"/>
      <c r="J161" s="248"/>
      <c r="K161" s="248"/>
      <c r="L161" s="248"/>
      <c r="M161" s="248"/>
      <c r="N161" s="188"/>
      <c r="O161" s="248"/>
      <c r="P161" s="186"/>
      <c r="Q161" s="186"/>
      <c r="R161" s="186"/>
      <c r="S161" s="186"/>
      <c r="T161" s="186"/>
      <c r="U161" s="186"/>
      <c r="V161" s="186"/>
      <c r="W161" s="186"/>
      <c r="X161" s="186"/>
      <c r="AO161" s="25" t="s">
        <v>67</v>
      </c>
      <c r="AP161" s="25">
        <v>66.666666666666671</v>
      </c>
      <c r="AQ161" s="25">
        <v>80</v>
      </c>
    </row>
    <row r="162" spans="2:46" x14ac:dyDescent="0.25">
      <c r="B162" s="186"/>
      <c r="C162" s="187"/>
      <c r="D162" s="186"/>
      <c r="E162" s="197"/>
      <c r="F162" s="186"/>
      <c r="G162" s="197"/>
      <c r="H162" s="186"/>
      <c r="I162" s="200"/>
      <c r="J162" s="200"/>
      <c r="K162" s="200"/>
      <c r="L162" s="200"/>
      <c r="M162" s="200"/>
      <c r="N162" s="186"/>
      <c r="O162" s="200"/>
      <c r="P162" s="186"/>
      <c r="Q162" s="186"/>
      <c r="R162" s="186"/>
      <c r="S162" s="186"/>
      <c r="T162" s="186"/>
      <c r="U162" s="186"/>
      <c r="V162" s="186"/>
      <c r="W162" s="186"/>
      <c r="X162" s="186"/>
      <c r="AO162" s="25" t="s">
        <v>70</v>
      </c>
      <c r="AP162" s="25">
        <v>0</v>
      </c>
      <c r="AQ162" s="25" t="s">
        <v>71</v>
      </c>
    </row>
    <row r="163" spans="2:46" x14ac:dyDescent="0.25">
      <c r="B163" s="186"/>
      <c r="C163" s="187"/>
      <c r="D163" s="186"/>
      <c r="E163" s="197"/>
      <c r="F163" s="186"/>
      <c r="G163" s="197"/>
      <c r="H163" s="186"/>
      <c r="I163" s="200"/>
      <c r="J163" s="200"/>
      <c r="K163" s="200"/>
      <c r="L163" s="200"/>
      <c r="M163" s="200"/>
      <c r="N163" s="186"/>
      <c r="O163" s="200"/>
      <c r="P163" s="186"/>
      <c r="Q163" s="186"/>
      <c r="R163" s="186"/>
      <c r="S163" s="186"/>
      <c r="T163" s="186"/>
      <c r="U163" s="186"/>
      <c r="V163" s="186"/>
      <c r="W163" s="186"/>
      <c r="X163" s="186"/>
    </row>
    <row r="164" spans="2:46" x14ac:dyDescent="0.25">
      <c r="B164" s="186"/>
      <c r="C164" s="187"/>
      <c r="D164" s="186"/>
      <c r="E164" s="197"/>
      <c r="F164" s="186"/>
      <c r="G164" s="197"/>
      <c r="H164" s="186"/>
      <c r="I164" s="200"/>
      <c r="J164" s="200"/>
      <c r="K164" s="200"/>
      <c r="L164" s="200"/>
      <c r="M164" s="200"/>
      <c r="N164" s="186"/>
      <c r="O164" s="200"/>
      <c r="P164" s="186"/>
      <c r="Q164" s="186"/>
      <c r="R164" s="186"/>
      <c r="S164" s="186"/>
      <c r="T164" s="186"/>
      <c r="U164" s="186"/>
      <c r="V164" s="186"/>
      <c r="W164" s="186"/>
      <c r="X164" s="186"/>
    </row>
    <row r="165" spans="2:46" x14ac:dyDescent="0.25">
      <c r="B165" s="186"/>
      <c r="C165" s="187"/>
      <c r="D165" s="186"/>
      <c r="E165" s="197"/>
      <c r="F165" s="186"/>
      <c r="G165" s="197"/>
      <c r="H165" s="186"/>
      <c r="I165" s="200"/>
      <c r="J165" s="200"/>
      <c r="K165" s="200"/>
      <c r="L165" s="200"/>
      <c r="M165" s="200"/>
      <c r="N165" s="186"/>
      <c r="O165" s="200"/>
      <c r="P165" s="186"/>
      <c r="Q165" s="186"/>
      <c r="R165" s="186"/>
      <c r="S165" s="186"/>
      <c r="T165" s="186"/>
      <c r="U165" s="186"/>
      <c r="V165" s="186"/>
      <c r="W165" s="186"/>
      <c r="X165" s="186"/>
    </row>
    <row r="166" spans="2:46" x14ac:dyDescent="0.25">
      <c r="B166" s="186"/>
      <c r="C166" s="187"/>
      <c r="D166" s="186"/>
      <c r="E166" s="197"/>
      <c r="F166" s="186"/>
      <c r="G166" s="197"/>
      <c r="H166" s="186"/>
      <c r="I166" s="200"/>
      <c r="J166" s="200"/>
      <c r="K166" s="200"/>
      <c r="L166" s="200"/>
      <c r="M166" s="200"/>
      <c r="N166" s="186"/>
      <c r="O166" s="200"/>
      <c r="P166" s="186"/>
      <c r="Q166" s="186"/>
      <c r="R166" s="186"/>
      <c r="S166" s="186"/>
      <c r="T166" s="186"/>
      <c r="U166" s="186"/>
      <c r="V166" s="186"/>
      <c r="W166" s="186"/>
      <c r="X166" s="186"/>
    </row>
    <row r="167" spans="2:46" x14ac:dyDescent="0.25">
      <c r="B167" s="186"/>
      <c r="C167" s="187"/>
      <c r="D167" s="186"/>
      <c r="E167" s="197"/>
      <c r="F167" s="186"/>
      <c r="G167" s="197"/>
      <c r="H167" s="186"/>
      <c r="I167" s="200"/>
      <c r="J167" s="200"/>
      <c r="K167" s="200"/>
      <c r="L167" s="200"/>
      <c r="M167" s="200"/>
      <c r="N167" s="186"/>
      <c r="O167" s="200"/>
      <c r="P167" s="186"/>
      <c r="Q167" s="186"/>
      <c r="R167" s="186"/>
      <c r="S167" s="186"/>
      <c r="T167" s="186"/>
      <c r="U167" s="186"/>
      <c r="V167" s="186"/>
      <c r="W167" s="186"/>
      <c r="X167" s="186"/>
    </row>
    <row r="168" spans="2:46" x14ac:dyDescent="0.25">
      <c r="B168" s="186"/>
      <c r="C168" s="187"/>
      <c r="D168" s="186"/>
      <c r="E168" s="197"/>
      <c r="F168" s="186"/>
      <c r="G168" s="197"/>
      <c r="H168" s="186"/>
      <c r="I168" s="200"/>
      <c r="J168" s="200"/>
      <c r="K168" s="200"/>
      <c r="L168" s="200"/>
      <c r="M168" s="200"/>
      <c r="N168" s="186"/>
      <c r="O168" s="200"/>
      <c r="P168" s="186"/>
      <c r="Q168" s="186"/>
      <c r="R168" s="186"/>
      <c r="S168" s="186"/>
      <c r="T168" s="186"/>
      <c r="U168" s="186"/>
      <c r="V168" s="186"/>
      <c r="W168" s="186"/>
      <c r="X168" s="186"/>
    </row>
    <row r="169" spans="2:46" x14ac:dyDescent="0.25">
      <c r="B169" s="186"/>
      <c r="C169" s="1"/>
      <c r="D169" s="186"/>
      <c r="E169" s="197"/>
      <c r="F169" s="186"/>
      <c r="G169" s="197"/>
      <c r="H169" s="186"/>
      <c r="I169" s="200"/>
      <c r="J169" s="200"/>
      <c r="K169" s="200"/>
      <c r="L169" s="200"/>
      <c r="M169" s="200"/>
      <c r="N169" s="186"/>
      <c r="O169" s="200"/>
      <c r="P169" s="186"/>
      <c r="Q169" s="186"/>
      <c r="R169" s="186"/>
      <c r="S169" s="186"/>
      <c r="T169" s="186"/>
      <c r="U169" s="186"/>
      <c r="V169" s="186"/>
      <c r="W169" s="186"/>
      <c r="X169" s="186"/>
    </row>
    <row r="170" spans="2:46" x14ac:dyDescent="0.25">
      <c r="B170" s="186"/>
      <c r="C170" s="187" t="str">
        <f>IF($C$1="ENG","filling:","заповнення:")</f>
        <v>заповнення:</v>
      </c>
      <c r="D170" s="186"/>
      <c r="E170" s="198" t="str">
        <f>IF($C$1="ENG","honeycomb","сотове заповн.")</f>
        <v>сотове заповн.</v>
      </c>
      <c r="F170" s="189"/>
      <c r="G170" s="198" t="str">
        <f>IF($C$1="ENG","honeycomb","сотове заповн.")</f>
        <v>сотове заповн.</v>
      </c>
      <c r="H170" s="189"/>
      <c r="I170" s="249"/>
      <c r="J170" s="249"/>
      <c r="K170" s="249"/>
      <c r="L170" s="249"/>
      <c r="M170" s="249"/>
      <c r="N170" s="189"/>
      <c r="O170" s="249"/>
      <c r="P170" s="186"/>
      <c r="Q170" s="186"/>
      <c r="R170" s="186"/>
      <c r="S170" s="186"/>
      <c r="T170" s="186"/>
      <c r="U170" s="186"/>
      <c r="V170" s="186"/>
      <c r="W170" s="186"/>
      <c r="X170" s="186"/>
    </row>
    <row r="171" spans="2:46" x14ac:dyDescent="0.25">
      <c r="B171" s="186"/>
      <c r="C171" s="187" t="str">
        <f>IF($C$1="ENG","leaft edge:","торець полотна:")</f>
        <v>торець полотна:</v>
      </c>
      <c r="D171" s="186"/>
      <c r="E171" s="198" t="str">
        <f>IF($C$1="ENG","anodized","анодований")</f>
        <v>анодований</v>
      </c>
      <c r="F171" s="189"/>
      <c r="G171" s="198" t="str">
        <f>IF($C$1="ENG","black paint","чорний фарбов.")</f>
        <v>чорний фарбов.</v>
      </c>
      <c r="H171" s="189"/>
      <c r="I171" s="249"/>
      <c r="J171" s="249"/>
      <c r="K171" s="249"/>
      <c r="L171" s="249"/>
      <c r="M171" s="249"/>
      <c r="N171" s="189"/>
      <c r="O171" s="249"/>
      <c r="P171" s="186"/>
      <c r="Q171" s="186"/>
      <c r="R171" s="186"/>
      <c r="S171" s="186"/>
      <c r="T171" s="186"/>
      <c r="U171" s="186"/>
      <c r="V171" s="186"/>
      <c r="W171" s="186"/>
      <c r="X171" s="186"/>
    </row>
    <row r="172" spans="2:46" x14ac:dyDescent="0.25">
      <c r="D172" s="199"/>
      <c r="E172" s="197"/>
      <c r="F172" s="200"/>
      <c r="G172" s="197"/>
      <c r="H172" s="200"/>
      <c r="I172" s="200"/>
      <c r="J172" s="200"/>
      <c r="K172" s="200"/>
      <c r="L172" s="200"/>
      <c r="M172" s="200"/>
      <c r="N172" s="200"/>
      <c r="O172" s="200"/>
      <c r="P172" s="200"/>
      <c r="Q172" s="200"/>
      <c r="R172" s="200"/>
      <c r="S172" s="200"/>
      <c r="T172" s="200"/>
      <c r="U172" s="200"/>
      <c r="V172" s="200"/>
      <c r="W172" s="200"/>
      <c r="X172" s="186"/>
    </row>
    <row r="173" spans="2:46" s="190" customFormat="1" ht="15" customHeight="1" x14ac:dyDescent="0.25">
      <c r="B173" s="241" t="str">
        <f>IF($C$1="ENG","PRICE","ЦІНА")</f>
        <v>ЦІНА</v>
      </c>
      <c r="C173" s="242" t="str">
        <f>IF($C$1="ENG",IF($W$5=0.2,"with VAT","no VAT"),IF($W$5=0.2,"з ПДВ","без ПДВ"))</f>
        <v>з ПДВ</v>
      </c>
      <c r="D173" s="191"/>
      <c r="E173" s="243"/>
      <c r="F173" s="191"/>
      <c r="G173" s="243"/>
      <c r="H173" s="191"/>
      <c r="I173" s="194"/>
      <c r="J173" s="250"/>
      <c r="K173" s="194"/>
      <c r="L173" s="250"/>
      <c r="M173" s="194"/>
      <c r="N173" s="191"/>
      <c r="O173" s="194"/>
      <c r="P173" s="191"/>
      <c r="Q173" s="191"/>
      <c r="R173" s="191"/>
      <c r="S173" s="191"/>
      <c r="T173" s="191"/>
      <c r="U173" s="191"/>
      <c r="V173" s="191"/>
      <c r="W173" s="191"/>
      <c r="X173" s="191"/>
      <c r="AN173" s="192"/>
      <c r="AO173" s="192"/>
      <c r="AP173" s="192"/>
      <c r="AQ173" s="192"/>
      <c r="AR173" s="192"/>
      <c r="AS173" s="192"/>
      <c r="AT173" s="192"/>
    </row>
    <row r="174" spans="2:46" s="190" customFormat="1" ht="24.9" customHeight="1" x14ac:dyDescent="0.25">
      <c r="B174" s="201" t="str">
        <f>IF($C$1="ENG","Cover:","Покриття:")</f>
        <v>Покриття:</v>
      </c>
      <c r="C174" s="202" t="str">
        <f>IF($C$1="ENG","SIMPLEX / Verto-CELL","SIMPLEX / Verto-CELL")</f>
        <v>SIMPLEX / Verto-CELL</v>
      </c>
      <c r="D174" s="203">
        <f>IF(AC174="","",(1-$W$2)*(AC174/1.2))</f>
        <v>4116.666666666667</v>
      </c>
      <c r="E174" s="204">
        <f>IF($W$5=0.2,D174*1.2,D174)/$W$4</f>
        <v>4940</v>
      </c>
      <c r="F174" s="203">
        <f>IF(AD174="","",(1-$W$2)*(AD174/1.2))</f>
        <v>4483.3333333333339</v>
      </c>
      <c r="G174" s="204">
        <f>IF($W$5=0.2,F174*1.2,F174)/$W$4</f>
        <v>5380.0000000000009</v>
      </c>
      <c r="H174" s="203"/>
      <c r="I174" s="205"/>
      <c r="J174" s="203"/>
      <c r="K174" s="205"/>
      <c r="L174" s="203"/>
      <c r="M174" s="205"/>
      <c r="N174" s="203"/>
      <c r="O174" s="205"/>
      <c r="P174" s="203"/>
      <c r="Q174" s="205"/>
      <c r="R174" s="203"/>
      <c r="S174" s="205"/>
      <c r="T174" s="203"/>
      <c r="U174" s="205"/>
      <c r="V174" s="203"/>
      <c r="W174" s="205"/>
      <c r="X174" s="191"/>
      <c r="AB174" s="195" t="str">
        <f>C174</f>
        <v>SIMPLEX / Verto-CELL</v>
      </c>
      <c r="AC174" s="219">
        <v>4940</v>
      </c>
      <c r="AD174" s="219">
        <v>5380</v>
      </c>
      <c r="AE174" s="219"/>
      <c r="AF174" s="219"/>
      <c r="AG174" s="219"/>
      <c r="AH174" s="219"/>
      <c r="AN174" s="192"/>
      <c r="AO174" s="192"/>
      <c r="AP174" s="192"/>
      <c r="AQ174" s="192"/>
      <c r="AR174" s="192"/>
      <c r="AS174" s="192"/>
      <c r="AT174" s="192"/>
    </row>
    <row r="175" spans="2:46" s="190" customFormat="1" ht="24.9" customHeight="1" x14ac:dyDescent="0.25">
      <c r="B175" s="254"/>
      <c r="C175" s="255" t="str">
        <f>IF($C$1="ENG","UNI-MAT","UNI-MAT")</f>
        <v>UNI-MAT</v>
      </c>
      <c r="D175" s="256">
        <f>IF(AC175="","",(1-$W$2)*(AC175/1.2))</f>
        <v>4458.3333333333339</v>
      </c>
      <c r="E175" s="257">
        <f>IF($W$5=0.2,D175*1.2,D175)/$W$4</f>
        <v>5350.0000000000009</v>
      </c>
      <c r="F175" s="256">
        <f>IF(AD175="","",(1-$W$2)*(AD175/1.2))</f>
        <v>4825</v>
      </c>
      <c r="G175" s="257">
        <f>IF($W$5=0.2,F175*1.2,F175)/$W$4</f>
        <v>5790</v>
      </c>
      <c r="H175" s="256"/>
      <c r="I175" s="258"/>
      <c r="J175" s="256"/>
      <c r="K175" s="258"/>
      <c r="L175" s="256"/>
      <c r="M175" s="258"/>
      <c r="N175" s="256"/>
      <c r="O175" s="258"/>
      <c r="P175" s="256"/>
      <c r="Q175" s="258"/>
      <c r="R175" s="256"/>
      <c r="S175" s="258"/>
      <c r="T175" s="256"/>
      <c r="U175" s="258"/>
      <c r="V175" s="256"/>
      <c r="W175" s="258"/>
      <c r="X175" s="191"/>
      <c r="AB175" s="195" t="str">
        <f>C175</f>
        <v>UNI-MAT</v>
      </c>
      <c r="AC175" s="219">
        <v>5350</v>
      </c>
      <c r="AD175" s="219">
        <v>5790</v>
      </c>
      <c r="AE175" s="219"/>
      <c r="AF175" s="219"/>
      <c r="AG175" s="219"/>
      <c r="AH175" s="219"/>
      <c r="AN175" s="192"/>
      <c r="AO175" s="192"/>
      <c r="AP175" s="192"/>
      <c r="AQ175" s="192"/>
      <c r="AR175" s="192"/>
      <c r="AS175" s="192"/>
      <c r="AT175" s="192"/>
    </row>
    <row r="176" spans="2:46" s="190" customFormat="1" ht="24.9" customHeight="1" x14ac:dyDescent="0.25">
      <c r="B176" s="206"/>
      <c r="C176" s="207" t="str">
        <f>IF($C$1="ENG","RESIST","RESIST")</f>
        <v>RESIST</v>
      </c>
      <c r="D176" s="208">
        <f>IF(AC176="","",(1-$W$2)*(AC176/1.2))</f>
        <v>4741.666666666667</v>
      </c>
      <c r="E176" s="209">
        <f>IF($W$5=0.2,D176*1.2,D176)/$W$4</f>
        <v>5690</v>
      </c>
      <c r="F176" s="208">
        <f>IF(AD176="","",(1-$W$2)*(AD176/1.2))</f>
        <v>5108.3333333333339</v>
      </c>
      <c r="G176" s="209">
        <f>IF($W$5=0.2,F176*1.2,F176)/$W$4</f>
        <v>6130.0000000000009</v>
      </c>
      <c r="H176" s="208"/>
      <c r="I176" s="210"/>
      <c r="J176" s="208"/>
      <c r="K176" s="210"/>
      <c r="L176" s="208"/>
      <c r="M176" s="210"/>
      <c r="N176" s="208"/>
      <c r="O176" s="210"/>
      <c r="P176" s="208"/>
      <c r="Q176" s="210"/>
      <c r="R176" s="208"/>
      <c r="S176" s="210"/>
      <c r="T176" s="208"/>
      <c r="U176" s="210"/>
      <c r="V176" s="208"/>
      <c r="W176" s="210"/>
      <c r="X176" s="191"/>
      <c r="AB176" s="195" t="str">
        <f>C176</f>
        <v>RESIST</v>
      </c>
      <c r="AC176" s="219">
        <v>5690</v>
      </c>
      <c r="AD176" s="219">
        <v>6130</v>
      </c>
      <c r="AE176" s="219"/>
      <c r="AF176" s="219"/>
      <c r="AG176" s="219"/>
      <c r="AH176" s="219"/>
      <c r="AN176" s="192"/>
      <c r="AO176" s="192"/>
      <c r="AP176" s="192"/>
      <c r="AQ176" s="192"/>
      <c r="AR176" s="192"/>
      <c r="AS176" s="192"/>
      <c r="AT176" s="192"/>
    </row>
    <row r="177" spans="2:46" x14ac:dyDescent="0.25">
      <c r="B177" s="187"/>
      <c r="C177" s="1"/>
      <c r="D177" s="186"/>
      <c r="E177" s="186"/>
      <c r="F177" s="186"/>
      <c r="G177" s="186"/>
      <c r="H177" s="186"/>
      <c r="I177" s="186"/>
      <c r="J177" s="186"/>
      <c r="K177" s="186"/>
      <c r="L177" s="186"/>
      <c r="M177" s="186"/>
      <c r="N177" s="186"/>
      <c r="O177" s="186"/>
      <c r="P177" s="186"/>
      <c r="Q177" s="186"/>
      <c r="R177" s="186"/>
      <c r="S177" s="186"/>
      <c r="T177" s="186"/>
      <c r="U177" s="186"/>
      <c r="V177" s="186"/>
      <c r="W177" s="186"/>
      <c r="X177" s="186"/>
    </row>
    <row r="178" spans="2:46" x14ac:dyDescent="0.25">
      <c r="B178" s="211" t="str">
        <f>IF($C$1="ENG","For additonal charge:","Послуги за додаткову плату:")</f>
        <v>Послуги за додаткову плату:</v>
      </c>
      <c r="C178" s="212"/>
      <c r="D178" s="213"/>
      <c r="E178" s="214" t="str">
        <f>CONCATENATE(B173," ",C173)</f>
        <v>ЦІНА з ПДВ</v>
      </c>
      <c r="F178" s="215"/>
      <c r="G178" s="215"/>
      <c r="H178" s="215"/>
      <c r="I178" s="215"/>
      <c r="J178" s="215"/>
      <c r="K178" s="215"/>
      <c r="L178" s="215"/>
      <c r="M178" s="215"/>
      <c r="N178" s="215"/>
      <c r="O178" s="215"/>
      <c r="P178" s="215"/>
      <c r="Q178" s="215"/>
      <c r="R178" s="215"/>
      <c r="S178" s="215"/>
      <c r="T178" s="215"/>
      <c r="U178" s="215"/>
      <c r="V178" s="215"/>
      <c r="W178" s="215"/>
      <c r="X178" s="186"/>
    </row>
    <row r="179" spans="2:46" x14ac:dyDescent="0.25">
      <c r="B179" s="187"/>
      <c r="C179" s="1"/>
      <c r="D179" s="186"/>
      <c r="E179" s="186"/>
      <c r="F179" s="186"/>
      <c r="G179" s="186"/>
      <c r="H179" s="186"/>
      <c r="I179" s="186"/>
      <c r="J179" s="186"/>
      <c r="K179" s="186"/>
      <c r="L179" s="186"/>
      <c r="M179" s="186"/>
      <c r="N179" s="186"/>
      <c r="O179" s="186"/>
      <c r="P179" s="186"/>
      <c r="Q179" s="186"/>
      <c r="R179" s="186"/>
      <c r="S179" s="186"/>
      <c r="T179" s="186"/>
      <c r="U179" s="186"/>
      <c r="V179" s="186"/>
      <c r="W179" s="186"/>
      <c r="X179" s="186"/>
    </row>
    <row r="180" spans="2:46" ht="15" customHeight="1" x14ac:dyDescent="0.25">
      <c r="B180" s="224"/>
      <c r="C180" s="223" t="str">
        <f>IF($C$1="ENG","Ventilation sleeves (1 row)","вентиляційні віддушини (1ряд)")</f>
        <v>вентиляційні віддушини (1ряд)</v>
      </c>
      <c r="D180" s="236">
        <f>IF(AC180="","",(1-$W$2)*(AC180/1.2))</f>
        <v>241.66666666666669</v>
      </c>
      <c r="E180" s="227">
        <f>IF($W$5=0.2,D180*1.2,D180)/$W$4</f>
        <v>290</v>
      </c>
      <c r="F180" s="191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186"/>
      <c r="U180" s="186"/>
      <c r="V180" s="186"/>
      <c r="W180" s="186"/>
      <c r="X180" s="186"/>
      <c r="AC180" s="218">
        <v>290</v>
      </c>
    </row>
    <row r="181" spans="2:46" ht="15" customHeight="1" x14ac:dyDescent="0.25">
      <c r="B181" s="225"/>
      <c r="C181" s="222" t="str">
        <f>IF($C$1="ENG","door lock Magnet black","замок Magnet чорн.")</f>
        <v>замок Magnet чорн.</v>
      </c>
      <c r="D181" s="237">
        <f>IF(AC181="","",(1-$W$2)*(AC181/1.2))</f>
        <v>958.33333333333337</v>
      </c>
      <c r="E181" s="228">
        <f>IF($W$5=0.2,D181*1.2,D181)/$W$4</f>
        <v>1150</v>
      </c>
      <c r="F181" s="191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186"/>
      <c r="U181" s="186"/>
      <c r="V181" s="186"/>
      <c r="W181" s="186"/>
      <c r="X181" s="186"/>
      <c r="AC181" s="218">
        <v>1150</v>
      </c>
    </row>
    <row r="182" spans="2:46" ht="15" customHeight="1" x14ac:dyDescent="0.25">
      <c r="B182" s="225"/>
      <c r="C182" s="222" t="str">
        <f>IF($C$1="ENG","door lock Magnet","замок Magnet")</f>
        <v>замок Magnet</v>
      </c>
      <c r="D182" s="239" t="str">
        <f>IF(Z182="","",(1-$W$2)*(Z182/1.2))</f>
        <v/>
      </c>
      <c r="E182" s="228">
        <v>920</v>
      </c>
      <c r="F182" s="191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186"/>
      <c r="U182" s="186"/>
      <c r="V182" s="186"/>
      <c r="W182" s="186"/>
      <c r="X182" s="186"/>
      <c r="AC182" s="218">
        <v>920</v>
      </c>
    </row>
    <row r="183" spans="2:46" ht="15" customHeight="1" x14ac:dyDescent="0.25">
      <c r="B183" s="225"/>
      <c r="C183" s="222" t="str">
        <f>IF($C$1="ENG","door handle","дверна ручка")</f>
        <v>дверна ручка</v>
      </c>
      <c r="D183" s="237" t="str">
        <f>IF(AC183="","",(1-$W$2)*(AC183/1.2))</f>
        <v/>
      </c>
      <c r="E183" s="235" t="str">
        <f>IF($C$1="ENG","see Handles Price","див. Таблицю Ручки")</f>
        <v>див. Таблицю Ручки</v>
      </c>
      <c r="F183" s="191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186"/>
      <c r="U183" s="186"/>
      <c r="V183" s="186"/>
      <c r="W183" s="186"/>
      <c r="X183" s="186"/>
      <c r="AC183" s="218"/>
    </row>
    <row r="184" spans="2:46" s="8" customFormat="1" x14ac:dyDescent="0.25">
      <c r="B184" s="251"/>
      <c r="C184" s="252"/>
      <c r="D184" s="263"/>
      <c r="E184" s="253"/>
      <c r="F184" s="184"/>
      <c r="G184" s="60"/>
      <c r="I184" s="60"/>
      <c r="AC184" s="1"/>
      <c r="AF184" s="1"/>
      <c r="AG184" s="1"/>
      <c r="AH184" s="1"/>
      <c r="AI184" s="1"/>
      <c r="AJ184" s="1"/>
      <c r="AK184" s="1"/>
      <c r="AN184" s="123"/>
      <c r="AO184" s="123"/>
      <c r="AP184" s="123"/>
      <c r="AQ184" s="123"/>
      <c r="AR184" s="123"/>
      <c r="AS184" s="123"/>
      <c r="AT184" s="123"/>
    </row>
    <row r="185" spans="2:46" x14ac:dyDescent="0.25">
      <c r="C185" s="1"/>
      <c r="F185" s="221"/>
      <c r="G185" s="60"/>
      <c r="H185" s="8"/>
      <c r="I185" s="60"/>
      <c r="J185" s="8"/>
      <c r="K185" s="8"/>
      <c r="L185" s="8"/>
      <c r="M185" s="8"/>
      <c r="N185" s="8"/>
      <c r="O185" s="8"/>
      <c r="P185" s="8"/>
      <c r="Q185" s="8"/>
      <c r="R185" s="8"/>
      <c r="S185" s="8"/>
      <c r="AN185" s="1"/>
    </row>
    <row r="186" spans="2:46" x14ac:dyDescent="0.25">
      <c r="C186" s="1"/>
      <c r="F186" s="21"/>
      <c r="G186" s="60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183"/>
      <c r="U186" s="183"/>
      <c r="V186" s="183"/>
      <c r="W186" s="183"/>
    </row>
    <row r="187" spans="2:46" x14ac:dyDescent="0.25">
      <c r="C187" s="110"/>
      <c r="D187" s="21"/>
      <c r="E187" s="21"/>
      <c r="F187" s="21"/>
      <c r="G187" s="60"/>
      <c r="H187" s="5"/>
      <c r="T187" s="182"/>
      <c r="U187" s="182"/>
      <c r="V187" s="182"/>
      <c r="W187" s="182"/>
    </row>
    <row r="188" spans="2:46" s="8" customFormat="1" ht="24.9" customHeight="1" x14ac:dyDescent="0.25">
      <c r="B188" s="246" t="str">
        <f>TITLE!C14</f>
        <v>Полотна збірні: OXFORD</v>
      </c>
      <c r="C188" s="244"/>
      <c r="D188" s="245"/>
      <c r="E188" s="245"/>
      <c r="F188" s="216"/>
      <c r="G188" s="216"/>
      <c r="H188" s="216"/>
      <c r="I188" s="217"/>
      <c r="J188" s="217"/>
      <c r="K188" s="217"/>
      <c r="L188" s="217"/>
      <c r="M188" s="217"/>
      <c r="N188" s="217"/>
      <c r="O188" s="217"/>
      <c r="P188" s="217"/>
      <c r="Q188" s="217"/>
      <c r="R188" s="217"/>
      <c r="S188" s="217"/>
      <c r="T188" s="217"/>
      <c r="U188" s="217"/>
      <c r="V188" s="217"/>
      <c r="W188" s="217"/>
      <c r="X188" s="185"/>
      <c r="AN188" s="123"/>
      <c r="AO188" s="123"/>
      <c r="AP188" s="123"/>
      <c r="AQ188" s="123"/>
      <c r="AR188" s="123"/>
      <c r="AS188" s="123"/>
      <c r="AT188" s="123"/>
    </row>
    <row r="189" spans="2:46" s="8" customFormat="1" x14ac:dyDescent="0.25">
      <c r="B189" s="83"/>
      <c r="C189" s="162"/>
      <c r="D189" s="247"/>
      <c r="E189" s="247"/>
      <c r="F189" s="247"/>
      <c r="G189" s="247"/>
      <c r="H189" s="10"/>
      <c r="T189" s="90"/>
      <c r="U189" s="90"/>
      <c r="V189" s="90"/>
      <c r="W189" s="90"/>
      <c r="AN189" s="123"/>
      <c r="AO189" s="123"/>
      <c r="AP189" s="123"/>
      <c r="AQ189" s="123"/>
      <c r="AR189" s="123"/>
      <c r="AS189" s="123"/>
      <c r="AT189" s="123"/>
    </row>
    <row r="190" spans="2:46" x14ac:dyDescent="0.25">
      <c r="B190" s="186"/>
      <c r="C190" s="193" t="str">
        <f>IF($C$1="ENG","model:","модель:")</f>
        <v>модель:</v>
      </c>
      <c r="D190" s="186"/>
      <c r="E190" s="196" t="s">
        <v>16</v>
      </c>
      <c r="F190" s="188"/>
      <c r="G190" s="196" t="s">
        <v>63</v>
      </c>
      <c r="H190" s="188"/>
      <c r="I190" s="196" t="s">
        <v>14</v>
      </c>
      <c r="J190" s="188"/>
      <c r="K190" s="196" t="s">
        <v>17</v>
      </c>
      <c r="L190" s="188"/>
      <c r="M190" s="248"/>
      <c r="N190" s="188"/>
      <c r="O190" s="248"/>
      <c r="P190" s="186"/>
      <c r="Q190" s="186"/>
      <c r="R190" s="186"/>
      <c r="S190" s="186"/>
      <c r="T190" s="186"/>
      <c r="U190" s="186"/>
      <c r="V190" s="186"/>
      <c r="W190" s="186"/>
      <c r="X190" s="186"/>
    </row>
    <row r="191" spans="2:46" x14ac:dyDescent="0.25">
      <c r="B191" s="186"/>
      <c r="C191" s="187"/>
      <c r="D191" s="186"/>
      <c r="E191" s="197"/>
      <c r="F191" s="186"/>
      <c r="G191" s="197"/>
      <c r="H191" s="186"/>
      <c r="I191" s="197"/>
      <c r="J191" s="186"/>
      <c r="K191" s="197"/>
      <c r="L191" s="186"/>
      <c r="M191" s="200"/>
      <c r="N191" s="186"/>
      <c r="O191" s="200"/>
      <c r="P191" s="186"/>
      <c r="Q191" s="186"/>
      <c r="R191" s="186"/>
      <c r="S191" s="186"/>
      <c r="T191" s="186"/>
      <c r="U191" s="186"/>
      <c r="V191" s="186"/>
      <c r="W191" s="186"/>
      <c r="X191" s="186"/>
    </row>
    <row r="192" spans="2:46" x14ac:dyDescent="0.25">
      <c r="B192" s="186"/>
      <c r="C192" s="187"/>
      <c r="D192" s="186"/>
      <c r="E192" s="197"/>
      <c r="F192" s="186"/>
      <c r="G192" s="197"/>
      <c r="H192" s="186"/>
      <c r="I192" s="197"/>
      <c r="J192" s="186"/>
      <c r="K192" s="197"/>
      <c r="L192" s="186"/>
      <c r="M192" s="200"/>
      <c r="N192" s="186"/>
      <c r="O192" s="200"/>
      <c r="P192" s="186"/>
      <c r="Q192" s="186"/>
      <c r="R192" s="186"/>
      <c r="S192" s="186"/>
      <c r="T192" s="186"/>
      <c r="U192" s="186"/>
      <c r="V192" s="186"/>
      <c r="W192" s="186"/>
      <c r="X192" s="186"/>
    </row>
    <row r="193" spans="2:46" x14ac:dyDescent="0.25">
      <c r="B193" s="186"/>
      <c r="C193" s="187"/>
      <c r="D193" s="186"/>
      <c r="E193" s="197"/>
      <c r="F193" s="186"/>
      <c r="G193" s="197"/>
      <c r="H193" s="186"/>
      <c r="I193" s="197"/>
      <c r="J193" s="186"/>
      <c r="K193" s="197"/>
      <c r="L193" s="186"/>
      <c r="M193" s="200"/>
      <c r="N193" s="186"/>
      <c r="O193" s="200"/>
      <c r="P193" s="186"/>
      <c r="Q193" s="186"/>
      <c r="R193" s="186"/>
      <c r="S193" s="186"/>
      <c r="T193" s="186"/>
      <c r="U193" s="186"/>
      <c r="V193" s="186"/>
      <c r="W193" s="186"/>
      <c r="X193" s="186"/>
    </row>
    <row r="194" spans="2:46" x14ac:dyDescent="0.25">
      <c r="B194" s="186"/>
      <c r="C194" s="187"/>
      <c r="D194" s="186"/>
      <c r="E194" s="197"/>
      <c r="F194" s="186"/>
      <c r="G194" s="197"/>
      <c r="H194" s="186"/>
      <c r="I194" s="197"/>
      <c r="J194" s="186"/>
      <c r="K194" s="197"/>
      <c r="L194" s="186"/>
      <c r="M194" s="200"/>
      <c r="N194" s="186"/>
      <c r="O194" s="200"/>
      <c r="P194" s="186"/>
      <c r="Q194" s="186"/>
      <c r="R194" s="186"/>
      <c r="S194" s="186"/>
      <c r="T194" s="186"/>
      <c r="U194" s="186"/>
      <c r="V194" s="186"/>
      <c r="W194" s="186"/>
      <c r="X194" s="186"/>
    </row>
    <row r="195" spans="2:46" x14ac:dyDescent="0.25">
      <c r="B195" s="186"/>
      <c r="C195" s="187"/>
      <c r="D195" s="186"/>
      <c r="E195" s="197"/>
      <c r="F195" s="186"/>
      <c r="G195" s="197"/>
      <c r="H195" s="186"/>
      <c r="I195" s="197"/>
      <c r="J195" s="186"/>
      <c r="K195" s="197"/>
      <c r="L195" s="186"/>
      <c r="M195" s="200"/>
      <c r="N195" s="186"/>
      <c r="O195" s="200"/>
      <c r="P195" s="186"/>
      <c r="Q195" s="186"/>
      <c r="R195" s="186"/>
      <c r="S195" s="186"/>
      <c r="T195" s="186"/>
      <c r="U195" s="186"/>
      <c r="V195" s="186"/>
      <c r="W195" s="186"/>
      <c r="X195" s="186"/>
    </row>
    <row r="196" spans="2:46" x14ac:dyDescent="0.25">
      <c r="B196" s="186"/>
      <c r="C196" s="187"/>
      <c r="D196" s="186"/>
      <c r="E196" s="197"/>
      <c r="F196" s="186"/>
      <c r="G196" s="197"/>
      <c r="H196" s="186"/>
      <c r="I196" s="197"/>
      <c r="J196" s="186"/>
      <c r="K196" s="197"/>
      <c r="L196" s="186"/>
      <c r="M196" s="200"/>
      <c r="N196" s="186"/>
      <c r="O196" s="200"/>
      <c r="P196" s="186"/>
      <c r="Q196" s="186"/>
      <c r="R196" s="186"/>
      <c r="S196" s="186"/>
      <c r="T196" s="186"/>
      <c r="U196" s="186"/>
      <c r="V196" s="186"/>
      <c r="W196" s="186"/>
      <c r="X196" s="186"/>
    </row>
    <row r="197" spans="2:46" x14ac:dyDescent="0.25">
      <c r="B197" s="186"/>
      <c r="C197" s="187"/>
      <c r="D197" s="186"/>
      <c r="E197" s="197"/>
      <c r="F197" s="186"/>
      <c r="G197" s="197"/>
      <c r="H197" s="186"/>
      <c r="I197" s="197"/>
      <c r="J197" s="186"/>
      <c r="K197" s="197"/>
      <c r="L197" s="186"/>
      <c r="M197" s="200"/>
      <c r="N197" s="186"/>
      <c r="O197" s="200"/>
      <c r="P197" s="186"/>
      <c r="Q197" s="186"/>
      <c r="R197" s="186"/>
      <c r="S197" s="186"/>
      <c r="T197" s="186"/>
      <c r="U197" s="186"/>
      <c r="V197" s="186"/>
      <c r="W197" s="186"/>
      <c r="X197" s="186"/>
    </row>
    <row r="198" spans="2:46" x14ac:dyDescent="0.25">
      <c r="B198" s="186"/>
      <c r="C198" s="1"/>
      <c r="D198" s="186"/>
      <c r="E198" s="197"/>
      <c r="F198" s="186"/>
      <c r="G198" s="197"/>
      <c r="H198" s="186"/>
      <c r="I198" s="197"/>
      <c r="J198" s="186"/>
      <c r="K198" s="197"/>
      <c r="L198" s="186"/>
      <c r="M198" s="200"/>
      <c r="N198" s="186"/>
      <c r="O198" s="200"/>
      <c r="P198" s="186"/>
      <c r="Q198" s="186"/>
      <c r="R198" s="186"/>
      <c r="S198" s="186"/>
      <c r="T198" s="186"/>
      <c r="U198" s="186"/>
      <c r="V198" s="186"/>
      <c r="W198" s="186"/>
      <c r="X198" s="186"/>
    </row>
    <row r="199" spans="2:46" x14ac:dyDescent="0.25">
      <c r="B199" s="186"/>
      <c r="C199" s="187" t="str">
        <f>IF($C$1="ENG","filling:","заповнення:")</f>
        <v>заповнення:</v>
      </c>
      <c r="D199" s="186"/>
      <c r="E199" s="198" t="str">
        <f>IF($C$1="ENG","softwood","клеєний брус")</f>
        <v>клеєний брус</v>
      </c>
      <c r="F199" s="189"/>
      <c r="G199" s="198" t="str">
        <f>IF($C$1="ENG","softwood","клеєний брус")</f>
        <v>клеєний брус</v>
      </c>
      <c r="H199" s="189"/>
      <c r="I199" s="198" t="str">
        <f>IF($C$1="ENG","softwood","клеєний брус")</f>
        <v>клеєний брус</v>
      </c>
      <c r="J199" s="189"/>
      <c r="K199" s="198" t="str">
        <f>IF($C$1="ENG","softwood","клеєний брус")</f>
        <v>клеєний брус</v>
      </c>
      <c r="L199" s="189"/>
      <c r="M199" s="249"/>
      <c r="N199" s="189"/>
      <c r="O199" s="249"/>
      <c r="P199" s="186"/>
      <c r="Q199" s="186"/>
      <c r="R199" s="186"/>
      <c r="S199" s="186"/>
      <c r="T199" s="186"/>
      <c r="U199" s="186"/>
      <c r="V199" s="186"/>
      <c r="W199" s="186"/>
      <c r="X199" s="186"/>
    </row>
    <row r="200" spans="2:46" x14ac:dyDescent="0.25">
      <c r="B200" s="186"/>
      <c r="C200" s="187" t="str">
        <f>IF($C$1="ENG","glazing:","скління:")</f>
        <v>скління:</v>
      </c>
      <c r="D200" s="186"/>
      <c r="E200" s="198" t="str">
        <f>IF($C$1="ENG","Satin","Сатин")</f>
        <v>Сатин</v>
      </c>
      <c r="F200" s="189"/>
      <c r="G200" s="198" t="str">
        <f>IF($C$1="ENG","Satin","Сатин")</f>
        <v>Сатин</v>
      </c>
      <c r="H200" s="189"/>
      <c r="I200" s="198" t="str">
        <f>IF($C$1="ENG","Satin","Сатин")</f>
        <v>Сатин</v>
      </c>
      <c r="J200" s="189"/>
      <c r="K200" s="198" t="str">
        <f>IF($C$1="ENG","Satin","Сатин")</f>
        <v>Сатин</v>
      </c>
      <c r="L200" s="189"/>
      <c r="M200" s="249"/>
      <c r="N200" s="189"/>
      <c r="O200" s="249"/>
      <c r="P200" s="186"/>
      <c r="Q200" s="186"/>
      <c r="R200" s="186"/>
      <c r="S200" s="186"/>
      <c r="T200" s="186"/>
      <c r="U200" s="186"/>
      <c r="V200" s="186"/>
      <c r="W200" s="186"/>
      <c r="X200" s="186"/>
    </row>
    <row r="201" spans="2:46" x14ac:dyDescent="0.25">
      <c r="D201" s="199"/>
      <c r="E201" s="197"/>
      <c r="F201" s="200"/>
      <c r="G201" s="197"/>
      <c r="H201" s="200"/>
      <c r="I201" s="197"/>
      <c r="J201" s="200"/>
      <c r="K201" s="197"/>
      <c r="L201" s="200"/>
      <c r="M201" s="200"/>
      <c r="N201" s="200"/>
      <c r="O201" s="200"/>
      <c r="P201" s="200"/>
      <c r="Q201" s="200"/>
      <c r="R201" s="200"/>
      <c r="S201" s="200"/>
      <c r="T201" s="200"/>
      <c r="U201" s="200"/>
      <c r="V201" s="200"/>
      <c r="W201" s="200"/>
      <c r="X201" s="186"/>
    </row>
    <row r="202" spans="2:46" s="190" customFormat="1" ht="15" customHeight="1" x14ac:dyDescent="0.25">
      <c r="B202" s="241" t="str">
        <f>IF($C$1="ENG","PRICE","ЦІНА")</f>
        <v>ЦІНА</v>
      </c>
      <c r="C202" s="242" t="str">
        <f>IF($C$1="ENG",IF($W$5=0.2,"with VAT","no VAT"),IF($W$5=0.2,"з ПДВ","без ПДВ"))</f>
        <v>з ПДВ</v>
      </c>
      <c r="D202" s="191"/>
      <c r="E202" s="243"/>
      <c r="F202" s="191"/>
      <c r="G202" s="243"/>
      <c r="H202" s="191"/>
      <c r="I202" s="243"/>
      <c r="J202" s="191"/>
      <c r="K202" s="243"/>
      <c r="L202" s="191"/>
      <c r="M202" s="194"/>
      <c r="N202" s="191"/>
      <c r="O202" s="194"/>
      <c r="P202" s="191"/>
      <c r="Q202" s="191"/>
      <c r="R202" s="191"/>
      <c r="S202" s="191"/>
      <c r="T202" s="191"/>
      <c r="U202" s="191"/>
      <c r="V202" s="191"/>
      <c r="W202" s="191"/>
      <c r="X202" s="191"/>
      <c r="AN202" s="192"/>
      <c r="AO202" s="192"/>
      <c r="AP202" s="192"/>
      <c r="AQ202" s="192"/>
      <c r="AR202" s="192"/>
      <c r="AS202" s="192"/>
      <c r="AT202" s="192"/>
    </row>
    <row r="203" spans="2:46" s="190" customFormat="1" ht="24.9" customHeight="1" x14ac:dyDescent="0.25">
      <c r="B203" s="201" t="str">
        <f>IF($C$1="ENG","Cover:","Покриття:")</f>
        <v>Покриття:</v>
      </c>
      <c r="C203" s="202" t="str">
        <f>IF($C$1="ENG","Verto-CELL","Verto-CELL")</f>
        <v>Verto-CELL</v>
      </c>
      <c r="D203" s="203">
        <f>IF(AC203="","",(1-$W$2)*(AC203/1.2))</f>
        <v>7783.3333333333339</v>
      </c>
      <c r="E203" s="204">
        <f>IF($W$5=0.2,D203*1.2,D203)/$W$4</f>
        <v>9340</v>
      </c>
      <c r="F203" s="203">
        <f>IF(AD203="","",(1-$W$2)*(AD203/1.2))</f>
        <v>7783.3333333333339</v>
      </c>
      <c r="G203" s="204">
        <f>IF($W$5=0.2,F203*1.2,F203)/$W$4</f>
        <v>9340</v>
      </c>
      <c r="H203" s="203">
        <f>IF(AE203="","",(1-$W$2)*(AE203/1.2))</f>
        <v>7783.3333333333339</v>
      </c>
      <c r="I203" s="204">
        <f>IF($W$5=0.2,H203*1.2,H203)/$W$4</f>
        <v>9340</v>
      </c>
      <c r="J203" s="203">
        <f>IF(AF203="","",(1-$W$2)*(AF203/1.2))</f>
        <v>7783.3333333333339</v>
      </c>
      <c r="K203" s="204">
        <f>IF($W$5=0.2,J203*1.2,J203)/$W$4</f>
        <v>9340</v>
      </c>
      <c r="L203" s="203"/>
      <c r="M203" s="205"/>
      <c r="N203" s="203"/>
      <c r="O203" s="205"/>
      <c r="P203" s="203"/>
      <c r="Q203" s="205"/>
      <c r="R203" s="203"/>
      <c r="S203" s="205"/>
      <c r="T203" s="203"/>
      <c r="U203" s="205"/>
      <c r="V203" s="203"/>
      <c r="W203" s="205"/>
      <c r="X203" s="191"/>
      <c r="AB203" s="195" t="str">
        <f>C203</f>
        <v>Verto-CELL</v>
      </c>
      <c r="AC203" s="219">
        <v>9340</v>
      </c>
      <c r="AD203" s="219">
        <v>9340</v>
      </c>
      <c r="AE203" s="219">
        <v>9340</v>
      </c>
      <c r="AF203" s="219">
        <v>9340</v>
      </c>
      <c r="AG203" s="219"/>
      <c r="AH203" s="219"/>
      <c r="AN203" s="192"/>
      <c r="AO203" s="192"/>
      <c r="AP203" s="192"/>
      <c r="AQ203" s="192"/>
      <c r="AR203" s="192"/>
      <c r="AS203" s="192"/>
      <c r="AT203" s="192"/>
    </row>
    <row r="204" spans="2:46" s="190" customFormat="1" ht="24.9" customHeight="1" x14ac:dyDescent="0.25">
      <c r="B204" s="254"/>
      <c r="C204" s="255" t="str">
        <f>IF($C$1="ENG","UNI-MAT","UNI-MAT")</f>
        <v>UNI-MAT</v>
      </c>
      <c r="D204" s="256">
        <f>IF(AC204="","",(1-$W$2)*(AC204/1.2))</f>
        <v>8041.666666666667</v>
      </c>
      <c r="E204" s="257">
        <f>IF($W$5=0.2,D204*1.2,D204)/$W$4</f>
        <v>9650</v>
      </c>
      <c r="F204" s="256">
        <f>IF(AD204="","",(1-$W$2)*(AD204/1.2))</f>
        <v>8041.666666666667</v>
      </c>
      <c r="G204" s="257">
        <f>IF($W$5=0.2,F204*1.2,F204)/$W$4</f>
        <v>9650</v>
      </c>
      <c r="H204" s="256">
        <f>IF(AE204="","",(1-$W$2)*(AE204/1.2))</f>
        <v>8041.666666666667</v>
      </c>
      <c r="I204" s="257">
        <f>IF($W$5=0.2,H204*1.2,H204)/$W$4</f>
        <v>9650</v>
      </c>
      <c r="J204" s="256">
        <f>IF(AF204="","",(1-$W$2)*(AF204/1.2))</f>
        <v>8041.666666666667</v>
      </c>
      <c r="K204" s="257">
        <f>IF($W$5=0.2,J204*1.2,J204)/$W$4</f>
        <v>9650</v>
      </c>
      <c r="L204" s="256"/>
      <c r="M204" s="258"/>
      <c r="N204" s="256"/>
      <c r="O204" s="258"/>
      <c r="P204" s="256"/>
      <c r="Q204" s="258"/>
      <c r="R204" s="256"/>
      <c r="S204" s="258"/>
      <c r="T204" s="256"/>
      <c r="U204" s="258"/>
      <c r="V204" s="256"/>
      <c r="W204" s="258"/>
      <c r="X204" s="191"/>
      <c r="AB204" s="195" t="str">
        <f>C204</f>
        <v>UNI-MAT</v>
      </c>
      <c r="AC204" s="219">
        <v>9650</v>
      </c>
      <c r="AD204" s="219">
        <v>9650</v>
      </c>
      <c r="AE204" s="219">
        <v>9650</v>
      </c>
      <c r="AF204" s="219">
        <v>9650</v>
      </c>
      <c r="AG204" s="219"/>
      <c r="AH204" s="219"/>
      <c r="AN204" s="192"/>
      <c r="AO204" s="192"/>
      <c r="AP204" s="192"/>
      <c r="AQ204" s="192"/>
      <c r="AR204" s="192"/>
      <c r="AS204" s="192"/>
      <c r="AT204" s="192"/>
    </row>
    <row r="205" spans="2:46" s="190" customFormat="1" ht="24.9" customHeight="1" x14ac:dyDescent="0.25">
      <c r="B205" s="206"/>
      <c r="C205" s="207" t="str">
        <f>IF($C$1="ENG","RESIST","RESIST")</f>
        <v>RESIST</v>
      </c>
      <c r="D205" s="208">
        <f>IF(AC205="","",(1-$W$2)*(AC205/1.2))</f>
        <v>8308.3333333333339</v>
      </c>
      <c r="E205" s="209">
        <f>IF($W$5=0.2,D205*1.2,D205)/$W$4</f>
        <v>9970</v>
      </c>
      <c r="F205" s="208">
        <f>IF(AD205="","",(1-$W$2)*(AD205/1.2))</f>
        <v>8308.3333333333339</v>
      </c>
      <c r="G205" s="209">
        <f>IF($W$5=0.2,F205*1.2,F205)/$W$4</f>
        <v>9970</v>
      </c>
      <c r="H205" s="208">
        <f>IF(AE205="","",(1-$W$2)*(AE205/1.2))</f>
        <v>8308.3333333333339</v>
      </c>
      <c r="I205" s="209">
        <f>IF($W$5=0.2,H205*1.2,H205)/$W$4</f>
        <v>9970</v>
      </c>
      <c r="J205" s="208">
        <f>IF(AF205="","",(1-$W$2)*(AF205/1.2))</f>
        <v>8308.3333333333339</v>
      </c>
      <c r="K205" s="209">
        <f>IF($W$5=0.2,J205*1.2,J205)/$W$4</f>
        <v>9970</v>
      </c>
      <c r="L205" s="208"/>
      <c r="M205" s="210"/>
      <c r="N205" s="208"/>
      <c r="O205" s="210"/>
      <c r="P205" s="208"/>
      <c r="Q205" s="210"/>
      <c r="R205" s="208"/>
      <c r="S205" s="210"/>
      <c r="T205" s="208"/>
      <c r="U205" s="210"/>
      <c r="V205" s="208"/>
      <c r="W205" s="210"/>
      <c r="X205" s="191"/>
      <c r="AB205" s="195" t="str">
        <f>C205</f>
        <v>RESIST</v>
      </c>
      <c r="AC205" s="219">
        <v>9970</v>
      </c>
      <c r="AD205" s="219">
        <v>9970</v>
      </c>
      <c r="AE205" s="219">
        <v>9970</v>
      </c>
      <c r="AF205" s="219">
        <v>9970</v>
      </c>
      <c r="AG205" s="219"/>
      <c r="AH205" s="219"/>
      <c r="AN205" s="192"/>
      <c r="AO205" s="192"/>
      <c r="AP205" s="192"/>
      <c r="AQ205" s="192"/>
      <c r="AR205" s="192"/>
      <c r="AS205" s="192"/>
      <c r="AT205" s="192"/>
    </row>
    <row r="206" spans="2:46" x14ac:dyDescent="0.25">
      <c r="B206" s="187"/>
      <c r="C206" s="1"/>
      <c r="D206" s="186"/>
      <c r="E206" s="186"/>
      <c r="F206" s="186"/>
      <c r="G206" s="186"/>
      <c r="H206" s="186"/>
      <c r="I206" s="186"/>
      <c r="J206" s="186"/>
      <c r="K206" s="186"/>
      <c r="L206" s="186"/>
      <c r="M206" s="200"/>
      <c r="N206" s="186"/>
      <c r="O206" s="186"/>
      <c r="P206" s="186"/>
      <c r="Q206" s="186"/>
      <c r="R206" s="186"/>
      <c r="S206" s="186"/>
      <c r="T206" s="186"/>
      <c r="U206" s="186"/>
      <c r="V206" s="186"/>
      <c r="W206" s="186"/>
      <c r="X206" s="186"/>
    </row>
    <row r="207" spans="2:46" x14ac:dyDescent="0.25">
      <c r="B207" s="211" t="str">
        <f>IF($C$1="ENG","For additonal charge:","Послуги за додаткову плату:")</f>
        <v>Послуги за додаткову плату:</v>
      </c>
      <c r="C207" s="212"/>
      <c r="D207" s="213"/>
      <c r="E207" s="214" t="str">
        <f>CONCATENATE(B202," ",C202)</f>
        <v>ЦІНА з ПДВ</v>
      </c>
      <c r="F207" s="215"/>
      <c r="G207" s="215"/>
      <c r="H207" s="215"/>
      <c r="I207" s="215"/>
      <c r="J207" s="215"/>
      <c r="K207" s="215"/>
      <c r="L207" s="215"/>
      <c r="M207" s="215"/>
      <c r="N207" s="215"/>
      <c r="O207" s="215"/>
      <c r="P207" s="215"/>
      <c r="Q207" s="215"/>
      <c r="R207" s="215"/>
      <c r="S207" s="215"/>
      <c r="T207" s="215"/>
      <c r="U207" s="215"/>
      <c r="V207" s="215"/>
      <c r="W207" s="215"/>
      <c r="X207" s="186"/>
    </row>
    <row r="208" spans="2:46" x14ac:dyDescent="0.25">
      <c r="B208" s="187"/>
      <c r="C208" s="1"/>
      <c r="D208" s="186"/>
      <c r="E208" s="186"/>
      <c r="F208" s="186"/>
      <c r="G208" s="186"/>
      <c r="H208" s="186"/>
      <c r="I208" s="186"/>
      <c r="J208" s="186"/>
      <c r="K208" s="186"/>
      <c r="L208" s="186"/>
      <c r="M208" s="186"/>
      <c r="N208" s="186"/>
      <c r="O208" s="186"/>
      <c r="P208" s="186"/>
      <c r="Q208" s="186"/>
      <c r="R208" s="186"/>
      <c r="S208" s="186"/>
      <c r="T208" s="186"/>
      <c r="U208" s="186"/>
      <c r="V208" s="186"/>
      <c r="W208" s="186"/>
      <c r="X208" s="186"/>
    </row>
    <row r="209" spans="2:46" ht="15" customHeight="1" x14ac:dyDescent="0.25">
      <c r="B209" s="224"/>
      <c r="C209" s="223" t="str">
        <f>IF($C$1="ENG","door leaf with width 100","полотно розміром 100")</f>
        <v>полотно розміром 100</v>
      </c>
      <c r="D209" s="236">
        <f>IF(AC209="","",(1-$W$2)*(AC209/1.2))</f>
        <v>691.66666666666674</v>
      </c>
      <c r="E209" s="227">
        <f>IF($W$5=0.2,D209*1.2,D209)/$W$4</f>
        <v>830.00000000000011</v>
      </c>
      <c r="F209" s="191"/>
      <c r="G209" s="229"/>
      <c r="H209" s="224"/>
      <c r="I209" s="223" t="str">
        <f>IF($C$1="ENG","door lock Soft","замок Soft")</f>
        <v>замок Soft</v>
      </c>
      <c r="J209" s="238">
        <f>IF(AF209="","",(1-$W$2)*(AF209/1.2))</f>
        <v>525</v>
      </c>
      <c r="K209" s="227">
        <f>IF($W$5=0.2,J209*1.2,J209)/$W$4</f>
        <v>630</v>
      </c>
      <c r="L209" s="191"/>
      <c r="M209" s="229"/>
      <c r="N209" s="224"/>
      <c r="O209" s="223" t="str">
        <f>IF($C$1="ENG","cylinder incert","циліндр несиметричний")</f>
        <v>циліндр несиметричний</v>
      </c>
      <c r="P209" s="236">
        <f>IF(AI209="","",(1-$W$2)*(AI209/1.2))</f>
        <v>375</v>
      </c>
      <c r="Q209" s="227">
        <f>IF($W$5=0.2,P209*1.2,P209)/$W$4</f>
        <v>450</v>
      </c>
      <c r="R209" s="186"/>
      <c r="S209" s="186"/>
      <c r="T209" s="186"/>
      <c r="U209" s="186"/>
      <c r="V209" s="186"/>
      <c r="W209" s="186"/>
      <c r="X209" s="186"/>
      <c r="AC209" s="218">
        <v>830</v>
      </c>
      <c r="AF209" s="218">
        <v>630</v>
      </c>
      <c r="AI209" s="218">
        <v>450</v>
      </c>
      <c r="AN209" s="1"/>
      <c r="AO209" s="1"/>
      <c r="AP209" s="1"/>
      <c r="AQ209" s="1"/>
    </row>
    <row r="210" spans="2:46" ht="15" customHeight="1" x14ac:dyDescent="0.25">
      <c r="B210" s="225"/>
      <c r="C210" s="223" t="str">
        <f>IF($C$1="ENG","Ventilation sleeves (1 row)","вентиляційні віддушини (1ряд)")</f>
        <v>вентиляційні віддушини (1ряд)</v>
      </c>
      <c r="D210" s="236">
        <f>IF(AC210="","",(1-$W$2)*(AC210/1.2))</f>
        <v>241.66666666666669</v>
      </c>
      <c r="E210" s="227">
        <f>IF($W$5=0.2,D210*1.2,D210)/$W$4</f>
        <v>290</v>
      </c>
      <c r="F210" s="191"/>
      <c r="G210" s="230"/>
      <c r="H210" s="225"/>
      <c r="I210" s="222" t="str">
        <f>IF($C$1="ENG","door lock Soft black","замок Soft чорн.")</f>
        <v>замок Soft чорн.</v>
      </c>
      <c r="J210" s="239">
        <f>IF(AF210="","",(1-$W$2)*(AF210/1.2))</f>
        <v>650</v>
      </c>
      <c r="K210" s="228">
        <f>IF($W$5=0.2,J210*1.2,J210)/$W$4</f>
        <v>780</v>
      </c>
      <c r="L210" s="191"/>
      <c r="M210" s="230"/>
      <c r="N210" s="225"/>
      <c r="O210" s="222" t="str">
        <f>IF($C$1="ENG","door hindge Prestige (1 unit)","завіса Prestige (1 шт)")</f>
        <v>завіса Prestige (1 шт)</v>
      </c>
      <c r="P210" s="240">
        <f>IF(AI210="","",(1-$W$2)*(AI210/1.2))</f>
        <v>250</v>
      </c>
      <c r="Q210" s="228">
        <f>IF($W$5=0.2,P210*1.2,P210)/$W$4</f>
        <v>300</v>
      </c>
      <c r="R210" s="186"/>
      <c r="S210" s="186"/>
      <c r="T210" s="186"/>
      <c r="U210" s="186"/>
      <c r="V210" s="186"/>
      <c r="W210" s="186"/>
      <c r="X210" s="186"/>
      <c r="AC210" s="218">
        <v>290</v>
      </c>
      <c r="AF210" s="218">
        <v>780</v>
      </c>
      <c r="AI210" s="218">
        <v>300</v>
      </c>
      <c r="AN210" s="1"/>
      <c r="AO210" s="1"/>
      <c r="AP210" s="1"/>
      <c r="AQ210" s="1"/>
    </row>
    <row r="211" spans="2:46" ht="15" customHeight="1" x14ac:dyDescent="0.25">
      <c r="B211" s="225"/>
      <c r="C211" s="222" t="str">
        <f>IF($C$1="ENG","Ventilation cut","вентиляційний підріз")</f>
        <v>вентиляційний підріз</v>
      </c>
      <c r="D211" s="237">
        <f>IF(AC211="","",(1-$W$2)*(AC211/1.2))</f>
        <v>162.5</v>
      </c>
      <c r="E211" s="228">
        <f>IF($W$5=0.2,D211*1.2,D211)/$W$4</f>
        <v>195</v>
      </c>
      <c r="F211" s="191"/>
      <c r="G211" s="230"/>
      <c r="H211" s="225"/>
      <c r="I211" s="222" t="str">
        <f>IF($C$1="ENG","door lock Magnet","замок Magnet")</f>
        <v>замок Magnet</v>
      </c>
      <c r="J211" s="239">
        <f>IF(AF211="","",(1-$W$2)*(AF211/1.2))</f>
        <v>766.66666666666674</v>
      </c>
      <c r="K211" s="228">
        <f>IF($W$5=0.2,J211*1.2,J211)/$W$4</f>
        <v>920.00000000000011</v>
      </c>
      <c r="L211" s="191"/>
      <c r="M211" s="230"/>
      <c r="N211" s="225"/>
      <c r="O211" s="222" t="str">
        <f>IF($C$1="ENG","door hinge caps (1 set)","накладка на завіси (1 к-т)")</f>
        <v>накладка на завіси (1 к-т)</v>
      </c>
      <c r="P211" s="240">
        <f>IF(AI211="","",(1-$W$2)*(AI211/1.2))</f>
        <v>75</v>
      </c>
      <c r="Q211" s="228">
        <f>IF($W$5=0.2,P211*1.2,P211)/$W$4</f>
        <v>90</v>
      </c>
      <c r="R211" s="186"/>
      <c r="S211" s="186"/>
      <c r="T211" s="186"/>
      <c r="U211" s="186"/>
      <c r="V211" s="186"/>
      <c r="W211" s="186"/>
      <c r="X211" s="186"/>
      <c r="AC211" s="218">
        <v>195</v>
      </c>
      <c r="AF211" s="218">
        <v>920</v>
      </c>
      <c r="AI211" s="218">
        <v>90</v>
      </c>
      <c r="AN211" s="1"/>
      <c r="AO211" s="1"/>
      <c r="AP211" s="1"/>
      <c r="AQ211" s="1"/>
    </row>
    <row r="212" spans="2:46" s="8" customFormat="1" ht="15" customHeight="1" x14ac:dyDescent="0.25">
      <c r="B212" s="1"/>
      <c r="C212" s="222" t="str">
        <f>IF($C$1="ENG","glazing Graphite / Bronze","скло Графіт / Бронза")</f>
        <v>скло Графіт / Бронза</v>
      </c>
      <c r="D212" s="237">
        <f>IF(AC212="","",(1-$W$2)*(AC212/1.2))</f>
        <v>525</v>
      </c>
      <c r="E212" s="228">
        <f>IF($W$5=0.2,D212*1.2,D212)/$W$4</f>
        <v>630</v>
      </c>
      <c r="F212" s="184"/>
      <c r="G212" s="231"/>
      <c r="H212" s="226"/>
      <c r="I212" s="222" t="str">
        <f>IF($C$1="ENG","door lock Magnet black","замок Magnet чорн.")</f>
        <v>замок Magnet чорн.</v>
      </c>
      <c r="J212" s="239">
        <f>IF(AF212="","",(1-$W$2)*(AF212/1.2))</f>
        <v>958.33333333333337</v>
      </c>
      <c r="K212" s="228">
        <f>IF($W$5=0.2,J212*1.2,J212)/$W$4</f>
        <v>1150</v>
      </c>
      <c r="L212" s="220"/>
      <c r="M212" s="233"/>
      <c r="N212" s="226"/>
      <c r="O212" s="222" t="str">
        <f>IF($C$1="ENG","door handle","дверна ручка")</f>
        <v>дверна ручка</v>
      </c>
      <c r="P212" s="237">
        <f>IF(AI212="","",(1-$W$2)*(AI212/1.2))</f>
        <v>0</v>
      </c>
      <c r="Q212" s="235" t="str">
        <f>IF($C$1="ENG","see Handles Price","див. Таблицю Ручки")</f>
        <v>див. Таблицю Ручки</v>
      </c>
      <c r="AC212" s="218">
        <v>630</v>
      </c>
      <c r="AF212" s="218">
        <v>1150</v>
      </c>
      <c r="AI212" s="218">
        <v>0</v>
      </c>
      <c r="AK212" s="1"/>
      <c r="AL212" s="1"/>
      <c r="AM212" s="1"/>
      <c r="AN212" s="1"/>
      <c r="AO212" s="1"/>
      <c r="AP212" s="1"/>
      <c r="AQ212" s="1"/>
      <c r="AR212" s="123"/>
      <c r="AS212" s="123"/>
      <c r="AT212" s="123"/>
    </row>
    <row r="213" spans="2:46" ht="15" customHeight="1" x14ac:dyDescent="0.25">
      <c r="C213" s="1"/>
      <c r="F213" s="221"/>
      <c r="G213" s="232"/>
      <c r="H213" s="225"/>
      <c r="I213" s="222" t="str">
        <f>IF($C$1="ENG","door handle-lock (for sliding doors)","ручка-замок (для дверей купе)")</f>
        <v>ручка-замок (для дверей купе)</v>
      </c>
      <c r="J213" s="237">
        <f>IF(AF213="","",(1-$W$2)*(AF213/1.2))</f>
        <v>533.33333333333337</v>
      </c>
      <c r="K213" s="228">
        <f>IF($W$5=0.2,J213*1.2,J213)/$W$4</f>
        <v>640</v>
      </c>
      <c r="L213" s="190"/>
      <c r="AF213" s="218">
        <v>640</v>
      </c>
      <c r="AI213" s="8"/>
      <c r="AN213" s="1"/>
      <c r="AO213" s="1"/>
      <c r="AP213" s="1"/>
      <c r="AQ213" s="1"/>
    </row>
    <row r="214" spans="2:46" x14ac:dyDescent="0.25">
      <c r="C214" s="1"/>
      <c r="F214" s="21"/>
      <c r="G214" s="21"/>
      <c r="H214" s="10"/>
      <c r="I214" s="33"/>
      <c r="J214" s="33"/>
      <c r="K214" s="33"/>
      <c r="S214" s="132"/>
      <c r="T214" s="183"/>
      <c r="U214" s="183"/>
      <c r="V214" s="183"/>
      <c r="W214" s="183"/>
    </row>
    <row r="215" spans="2:46" s="8" customFormat="1" x14ac:dyDescent="0.25">
      <c r="B215" s="83"/>
      <c r="T215" s="82"/>
      <c r="U215" s="82"/>
      <c r="V215" s="82"/>
      <c r="W215" s="82"/>
      <c r="AN215" s="123"/>
      <c r="AO215" s="123"/>
      <c r="AP215" s="123"/>
      <c r="AQ215" s="123"/>
      <c r="AR215" s="123"/>
      <c r="AS215" s="123"/>
      <c r="AT215" s="123"/>
    </row>
    <row r="216" spans="2:46" s="8" customFormat="1" x14ac:dyDescent="0.25">
      <c r="B216" s="83"/>
      <c r="T216" s="82"/>
      <c r="U216" s="82"/>
      <c r="V216" s="82"/>
      <c r="W216" s="82"/>
      <c r="AN216" s="123"/>
      <c r="AO216" s="123"/>
      <c r="AP216" s="123"/>
      <c r="AQ216" s="123"/>
      <c r="AR216" s="123"/>
      <c r="AS216" s="123"/>
      <c r="AT216" s="123"/>
    </row>
    <row r="217" spans="2:46" x14ac:dyDescent="0.25">
      <c r="C217" s="110"/>
      <c r="D217" s="21"/>
      <c r="E217" s="21"/>
      <c r="F217" s="21"/>
      <c r="G217" s="21"/>
      <c r="H217" s="5"/>
    </row>
    <row r="218" spans="2:46" s="8" customFormat="1" ht="24.9" customHeight="1" x14ac:dyDescent="0.25">
      <c r="B218" s="246" t="str">
        <f>TITLE!C15</f>
        <v>Полотна збірні: MODENA</v>
      </c>
      <c r="C218" s="244"/>
      <c r="D218" s="245"/>
      <c r="E218" s="245"/>
      <c r="F218" s="216"/>
      <c r="G218" s="216"/>
      <c r="H218" s="216"/>
      <c r="I218" s="217"/>
      <c r="J218" s="217"/>
      <c r="K218" s="217"/>
      <c r="L218" s="217"/>
      <c r="M218" s="217"/>
      <c r="N218" s="217"/>
      <c r="O218" s="217"/>
      <c r="P218" s="217"/>
      <c r="Q218" s="217"/>
      <c r="R218" s="217"/>
      <c r="S218" s="217"/>
      <c r="T218" s="217"/>
      <c r="U218" s="217"/>
      <c r="V218" s="217"/>
      <c r="W218" s="217"/>
      <c r="X218" s="185"/>
      <c r="AN218" s="123"/>
      <c r="AO218" s="123"/>
      <c r="AP218" s="123"/>
      <c r="AQ218" s="123"/>
      <c r="AR218" s="123"/>
      <c r="AS218" s="123"/>
      <c r="AT218" s="123"/>
    </row>
    <row r="219" spans="2:46" s="8" customFormat="1" x14ac:dyDescent="0.25">
      <c r="B219" s="83"/>
      <c r="C219" s="162"/>
      <c r="D219" s="247"/>
      <c r="E219" s="247"/>
      <c r="F219" s="247"/>
      <c r="G219" s="247"/>
      <c r="H219" s="10"/>
      <c r="T219" s="90"/>
      <c r="U219" s="90"/>
      <c r="V219" s="90"/>
      <c r="W219" s="90"/>
      <c r="AN219" s="123"/>
      <c r="AO219" s="123"/>
      <c r="AP219" s="123"/>
      <c r="AQ219" s="123"/>
      <c r="AR219" s="123"/>
      <c r="AS219" s="123"/>
      <c r="AT219" s="123"/>
    </row>
    <row r="220" spans="2:46" x14ac:dyDescent="0.25">
      <c r="B220" s="186"/>
      <c r="C220" s="193" t="str">
        <f>IF($C$1="ENG","model:","модель:")</f>
        <v>модель:</v>
      </c>
      <c r="D220" s="186"/>
      <c r="E220" s="196" t="s">
        <v>16</v>
      </c>
      <c r="F220" s="188"/>
      <c r="G220" s="196" t="s">
        <v>63</v>
      </c>
      <c r="H220" s="188"/>
      <c r="I220" s="196" t="s">
        <v>62</v>
      </c>
      <c r="J220" s="188"/>
      <c r="K220" s="196" t="s">
        <v>14</v>
      </c>
      <c r="L220" s="188"/>
      <c r="M220" s="248"/>
      <c r="N220" s="188"/>
      <c r="O220" s="248"/>
      <c r="P220" s="186"/>
      <c r="Q220" s="186"/>
      <c r="R220" s="186"/>
      <c r="S220" s="186"/>
      <c r="T220" s="186"/>
      <c r="U220" s="186"/>
      <c r="V220" s="186"/>
      <c r="W220" s="186"/>
      <c r="X220" s="186"/>
    </row>
    <row r="221" spans="2:46" x14ac:dyDescent="0.25">
      <c r="B221" s="186"/>
      <c r="C221" s="187"/>
      <c r="D221" s="186"/>
      <c r="E221" s="197"/>
      <c r="F221" s="186"/>
      <c r="G221" s="197"/>
      <c r="H221" s="186"/>
      <c r="I221" s="197"/>
      <c r="J221" s="186"/>
      <c r="K221" s="197"/>
      <c r="L221" s="186"/>
      <c r="M221" s="200"/>
      <c r="N221" s="186"/>
      <c r="O221" s="200"/>
      <c r="P221" s="186"/>
      <c r="Q221" s="186"/>
      <c r="R221" s="186"/>
      <c r="S221" s="186"/>
      <c r="T221" s="186"/>
      <c r="U221" s="186"/>
      <c r="V221" s="186"/>
      <c r="W221" s="186"/>
      <c r="X221" s="186"/>
    </row>
    <row r="222" spans="2:46" x14ac:dyDescent="0.25">
      <c r="B222" s="186"/>
      <c r="C222" s="187"/>
      <c r="D222" s="186"/>
      <c r="E222" s="197"/>
      <c r="F222" s="186"/>
      <c r="G222" s="197"/>
      <c r="H222" s="186"/>
      <c r="I222" s="197"/>
      <c r="J222" s="186"/>
      <c r="K222" s="197"/>
      <c r="L222" s="186"/>
      <c r="M222" s="200"/>
      <c r="N222" s="186"/>
      <c r="O222" s="200"/>
      <c r="P222" s="186"/>
      <c r="Q222" s="186"/>
      <c r="R222" s="186"/>
      <c r="S222" s="186"/>
      <c r="T222" s="186"/>
      <c r="U222" s="186"/>
      <c r="V222" s="186"/>
      <c r="W222" s="186"/>
      <c r="X222" s="186"/>
    </row>
    <row r="223" spans="2:46" x14ac:dyDescent="0.25">
      <c r="B223" s="186"/>
      <c r="C223" s="187"/>
      <c r="D223" s="186"/>
      <c r="E223" s="197"/>
      <c r="F223" s="186"/>
      <c r="G223" s="197"/>
      <c r="H223" s="186"/>
      <c r="I223" s="197"/>
      <c r="J223" s="186"/>
      <c r="K223" s="197"/>
      <c r="L223" s="186"/>
      <c r="M223" s="200"/>
      <c r="N223" s="186"/>
      <c r="O223" s="200"/>
      <c r="P223" s="186"/>
      <c r="Q223" s="186"/>
      <c r="R223" s="186"/>
      <c r="S223" s="186"/>
      <c r="T223" s="186"/>
      <c r="U223" s="186"/>
      <c r="V223" s="186"/>
      <c r="W223" s="186"/>
      <c r="X223" s="186"/>
    </row>
    <row r="224" spans="2:46" x14ac:dyDescent="0.25">
      <c r="B224" s="186"/>
      <c r="C224" s="187"/>
      <c r="D224" s="186"/>
      <c r="E224" s="197"/>
      <c r="F224" s="186"/>
      <c r="G224" s="197"/>
      <c r="H224" s="186"/>
      <c r="I224" s="197"/>
      <c r="J224" s="186"/>
      <c r="K224" s="197"/>
      <c r="L224" s="186"/>
      <c r="M224" s="200"/>
      <c r="N224" s="186"/>
      <c r="O224" s="200"/>
      <c r="P224" s="186"/>
      <c r="Q224" s="186"/>
      <c r="R224" s="186"/>
      <c r="S224" s="186"/>
      <c r="T224" s="186"/>
      <c r="U224" s="186"/>
      <c r="V224" s="186"/>
      <c r="W224" s="186"/>
      <c r="X224" s="186"/>
    </row>
    <row r="225" spans="2:46" x14ac:dyDescent="0.25">
      <c r="B225" s="186"/>
      <c r="C225" s="187"/>
      <c r="D225" s="186"/>
      <c r="E225" s="197"/>
      <c r="F225" s="186"/>
      <c r="G225" s="197"/>
      <c r="H225" s="186"/>
      <c r="I225" s="197"/>
      <c r="J225" s="186"/>
      <c r="K225" s="197"/>
      <c r="L225" s="186"/>
      <c r="M225" s="200"/>
      <c r="N225" s="186"/>
      <c r="O225" s="200"/>
      <c r="P225" s="186"/>
      <c r="Q225" s="186"/>
      <c r="R225" s="186"/>
      <c r="S225" s="186"/>
      <c r="T225" s="186"/>
      <c r="U225" s="186"/>
      <c r="V225" s="186"/>
      <c r="W225" s="186"/>
      <c r="X225" s="186"/>
    </row>
    <row r="226" spans="2:46" x14ac:dyDescent="0.25">
      <c r="B226" s="186"/>
      <c r="C226" s="187"/>
      <c r="D226" s="186"/>
      <c r="E226" s="197"/>
      <c r="F226" s="186"/>
      <c r="G226" s="197"/>
      <c r="H226" s="186"/>
      <c r="I226" s="197"/>
      <c r="J226" s="186"/>
      <c r="K226" s="197"/>
      <c r="L226" s="186"/>
      <c r="M226" s="200"/>
      <c r="N226" s="186"/>
      <c r="O226" s="200"/>
      <c r="P226" s="186"/>
      <c r="Q226" s="186"/>
      <c r="R226" s="186"/>
      <c r="S226" s="186"/>
      <c r="T226" s="186"/>
      <c r="U226" s="186"/>
      <c r="V226" s="186"/>
      <c r="W226" s="186"/>
      <c r="X226" s="186"/>
    </row>
    <row r="227" spans="2:46" x14ac:dyDescent="0.25">
      <c r="B227" s="186"/>
      <c r="C227" s="187"/>
      <c r="D227" s="186"/>
      <c r="E227" s="197"/>
      <c r="F227" s="186"/>
      <c r="G227" s="197"/>
      <c r="H227" s="186"/>
      <c r="I227" s="197"/>
      <c r="J227" s="186"/>
      <c r="K227" s="197"/>
      <c r="L227" s="186"/>
      <c r="M227" s="200"/>
      <c r="N227" s="186"/>
      <c r="O227" s="200"/>
      <c r="P227" s="186"/>
      <c r="Q227" s="186"/>
      <c r="R227" s="186"/>
      <c r="S227" s="186"/>
      <c r="T227" s="186"/>
      <c r="U227" s="186"/>
      <c r="V227" s="186"/>
      <c r="W227" s="186"/>
      <c r="X227" s="186"/>
    </row>
    <row r="228" spans="2:46" x14ac:dyDescent="0.25">
      <c r="B228" s="186"/>
      <c r="C228" s="1"/>
      <c r="D228" s="186"/>
      <c r="E228" s="197"/>
      <c r="F228" s="186"/>
      <c r="G228" s="197"/>
      <c r="H228" s="186"/>
      <c r="I228" s="197"/>
      <c r="J228" s="186"/>
      <c r="K228" s="197"/>
      <c r="L228" s="186"/>
      <c r="M228" s="200"/>
      <c r="N228" s="186"/>
      <c r="O228" s="200"/>
      <c r="P228" s="186"/>
      <c r="Q228" s="186"/>
      <c r="R228" s="186"/>
      <c r="S228" s="186"/>
      <c r="T228" s="186"/>
      <c r="U228" s="186"/>
      <c r="V228" s="186"/>
      <c r="W228" s="186"/>
      <c r="X228" s="186"/>
    </row>
    <row r="229" spans="2:46" x14ac:dyDescent="0.25">
      <c r="B229" s="186"/>
      <c r="C229" s="187" t="str">
        <f>IF($C$1="ENG","filling:","заповнення:")</f>
        <v>заповнення:</v>
      </c>
      <c r="D229" s="186"/>
      <c r="E229" s="198" t="str">
        <f>IF($C$1="ENG","softwood","клеєний брус")</f>
        <v>клеєний брус</v>
      </c>
      <c r="F229" s="189"/>
      <c r="G229" s="198" t="str">
        <f>IF($C$1="ENG","softwood","клеєний брус")</f>
        <v>клеєний брус</v>
      </c>
      <c r="H229" s="189"/>
      <c r="I229" s="198" t="str">
        <f>IF($C$1="ENG","softwood","клеєний брус")</f>
        <v>клеєний брус</v>
      </c>
      <c r="J229" s="189"/>
      <c r="K229" s="198" t="str">
        <f>IF($C$1="ENG","softwood","клеєний брус")</f>
        <v>клеєний брус</v>
      </c>
      <c r="L229" s="189"/>
      <c r="M229" s="249"/>
      <c r="N229" s="189"/>
      <c r="O229" s="249"/>
      <c r="P229" s="186"/>
      <c r="Q229" s="186"/>
      <c r="R229" s="186"/>
      <c r="S229" s="186"/>
      <c r="T229" s="186"/>
      <c r="U229" s="186"/>
      <c r="V229" s="186"/>
      <c r="W229" s="186"/>
      <c r="X229" s="186"/>
    </row>
    <row r="230" spans="2:46" x14ac:dyDescent="0.25">
      <c r="B230" s="186"/>
      <c r="C230" s="187" t="str">
        <f>IF($C$1="ENG","glazing:","скління:")</f>
        <v>скління:</v>
      </c>
      <c r="D230" s="186"/>
      <c r="E230" s="198" t="str">
        <f>IF($C$1="ENG","Satin","Сатин")</f>
        <v>Сатин</v>
      </c>
      <c r="F230" s="189"/>
      <c r="G230" s="198" t="str">
        <f>IF($C$1="ENG","Satin","Сатин")</f>
        <v>Сатин</v>
      </c>
      <c r="H230" s="189"/>
      <c r="I230" s="198" t="str">
        <f>IF($C$1="ENG","Satin","Сатин")</f>
        <v>Сатин</v>
      </c>
      <c r="J230" s="189"/>
      <c r="K230" s="198" t="str">
        <f>IF($C$1="ENG","Satin","Сатин")</f>
        <v>Сатин</v>
      </c>
      <c r="L230" s="189"/>
      <c r="M230" s="249"/>
      <c r="N230" s="189"/>
      <c r="O230" s="249"/>
      <c r="P230" s="186"/>
      <c r="Q230" s="186"/>
      <c r="R230" s="186"/>
      <c r="S230" s="186"/>
      <c r="T230" s="186"/>
      <c r="U230" s="186"/>
      <c r="V230" s="186"/>
      <c r="W230" s="186"/>
      <c r="X230" s="186"/>
    </row>
    <row r="231" spans="2:46" x14ac:dyDescent="0.25">
      <c r="D231" s="199"/>
      <c r="E231" s="197"/>
      <c r="F231" s="200"/>
      <c r="G231" s="197"/>
      <c r="H231" s="200"/>
      <c r="I231" s="197"/>
      <c r="J231" s="200"/>
      <c r="K231" s="197"/>
      <c r="L231" s="200"/>
      <c r="M231" s="200"/>
      <c r="N231" s="200"/>
      <c r="O231" s="200"/>
      <c r="P231" s="200"/>
      <c r="Q231" s="200"/>
      <c r="R231" s="200"/>
      <c r="S231" s="200"/>
      <c r="T231" s="200"/>
      <c r="U231" s="200"/>
      <c r="V231" s="200"/>
      <c r="W231" s="200"/>
      <c r="X231" s="186"/>
    </row>
    <row r="232" spans="2:46" s="190" customFormat="1" ht="15" customHeight="1" x14ac:dyDescent="0.25">
      <c r="B232" s="241" t="str">
        <f>IF($C$1="ENG","PRICE","ЦІНА")</f>
        <v>ЦІНА</v>
      </c>
      <c r="C232" s="242" t="str">
        <f>IF($C$1="ENG",IF($W$5=0.2,"with VAT","no VAT"),IF($W$5=0.2,"з ПДВ","без ПДВ"))</f>
        <v>з ПДВ</v>
      </c>
      <c r="D232" s="191"/>
      <c r="E232" s="243"/>
      <c r="F232" s="191"/>
      <c r="G232" s="243"/>
      <c r="H232" s="191"/>
      <c r="I232" s="243"/>
      <c r="J232" s="191"/>
      <c r="K232" s="243"/>
      <c r="L232" s="191"/>
      <c r="M232" s="194"/>
      <c r="N232" s="191"/>
      <c r="O232" s="194"/>
      <c r="P232" s="191"/>
      <c r="Q232" s="191"/>
      <c r="R232" s="191"/>
      <c r="S232" s="191"/>
      <c r="T232" s="191"/>
      <c r="U232" s="191"/>
      <c r="V232" s="191"/>
      <c r="W232" s="191"/>
      <c r="X232" s="191"/>
      <c r="AN232" s="192"/>
      <c r="AO232" s="192"/>
      <c r="AP232" s="192"/>
      <c r="AQ232" s="192"/>
      <c r="AR232" s="192"/>
      <c r="AS232" s="192"/>
      <c r="AT232" s="192"/>
    </row>
    <row r="233" spans="2:46" s="190" customFormat="1" ht="24.9" customHeight="1" x14ac:dyDescent="0.25">
      <c r="B233" s="201" t="str">
        <f>IF($C$1="ENG","Cover:","Покриття:")</f>
        <v>Покриття:</v>
      </c>
      <c r="C233" s="202" t="str">
        <f>IF($C$1="ENG","UNI-MAT","UNI-MAT")</f>
        <v>UNI-MAT</v>
      </c>
      <c r="D233" s="203">
        <f>IF(AC233="","",(1-$W$2)*(AC233/1.2))</f>
        <v>6141.666666666667</v>
      </c>
      <c r="E233" s="204">
        <f>IF($W$5=0.2,D233*1.2,D233)/$W$4</f>
        <v>7370</v>
      </c>
      <c r="F233" s="203">
        <f>IF(AD233="","",(1-$W$2)*(AD233/1.2))</f>
        <v>6383.3333333333339</v>
      </c>
      <c r="G233" s="204">
        <f>IF($W$5=0.2,F233*1.2,F233)/$W$4</f>
        <v>7660</v>
      </c>
      <c r="H233" s="203">
        <f>IF(AE233="","",(1-$W$2)*(AE233/1.2))</f>
        <v>6175</v>
      </c>
      <c r="I233" s="204">
        <f>IF($W$5=0.2,H233*1.2,H233)/$W$4</f>
        <v>7410</v>
      </c>
      <c r="J233" s="203">
        <f>IF(AF233="","",(1-$W$2)*(AF233/1.2))</f>
        <v>6641.666666666667</v>
      </c>
      <c r="K233" s="204">
        <f>IF($W$5=0.2,J233*1.2,J233)/$W$4</f>
        <v>7970</v>
      </c>
      <c r="L233" s="203"/>
      <c r="M233" s="205"/>
      <c r="N233" s="203"/>
      <c r="O233" s="205"/>
      <c r="P233" s="203"/>
      <c r="Q233" s="205"/>
      <c r="R233" s="203"/>
      <c r="S233" s="205"/>
      <c r="T233" s="203"/>
      <c r="U233" s="205"/>
      <c r="V233" s="203"/>
      <c r="W233" s="205"/>
      <c r="X233" s="191"/>
      <c r="AB233" s="195" t="str">
        <f>C233</f>
        <v>UNI-MAT</v>
      </c>
      <c r="AC233" s="219">
        <v>7370</v>
      </c>
      <c r="AD233" s="219">
        <v>7660</v>
      </c>
      <c r="AE233" s="219">
        <v>7410</v>
      </c>
      <c r="AF233" s="219">
        <v>7970</v>
      </c>
      <c r="AG233" s="219"/>
      <c r="AH233" s="219"/>
      <c r="AN233" s="192"/>
      <c r="AO233" s="192"/>
      <c r="AP233" s="192"/>
      <c r="AQ233" s="192"/>
      <c r="AR233" s="192"/>
      <c r="AS233" s="192"/>
      <c r="AT233" s="192"/>
    </row>
    <row r="234" spans="2:46" s="190" customFormat="1" ht="24.9" customHeight="1" x14ac:dyDescent="0.25">
      <c r="B234" s="206"/>
      <c r="C234" s="207" t="str">
        <f>IF($C$1="ENG","RESIST","RESIST")</f>
        <v>RESIST</v>
      </c>
      <c r="D234" s="208">
        <f>IF(AC234="","",(1-$W$2)*(AC234/1.2))</f>
        <v>6391.666666666667</v>
      </c>
      <c r="E234" s="209">
        <f>IF($W$5=0.2,D234*1.2,D234)/$W$4</f>
        <v>7670</v>
      </c>
      <c r="F234" s="208">
        <f>IF(AD234="","",(1-$W$2)*(AD234/1.2))</f>
        <v>6633.3333333333339</v>
      </c>
      <c r="G234" s="209">
        <f>IF($W$5=0.2,F234*1.2,F234)/$W$4</f>
        <v>7960</v>
      </c>
      <c r="H234" s="208">
        <f>IF(AE234="","",(1-$W$2)*(AE234/1.2))</f>
        <v>6425</v>
      </c>
      <c r="I234" s="209">
        <f>IF($W$5=0.2,H234*1.2,H234)/$W$4</f>
        <v>7710</v>
      </c>
      <c r="J234" s="208">
        <f>IF(AF234="","",(1-$W$2)*(AF234/1.2))</f>
        <v>6916.666666666667</v>
      </c>
      <c r="K234" s="209">
        <f>IF($W$5=0.2,J234*1.2,J234)/$W$4</f>
        <v>8300</v>
      </c>
      <c r="L234" s="208"/>
      <c r="M234" s="210"/>
      <c r="N234" s="208"/>
      <c r="O234" s="210"/>
      <c r="P234" s="208"/>
      <c r="Q234" s="210"/>
      <c r="R234" s="208"/>
      <c r="S234" s="210"/>
      <c r="T234" s="208"/>
      <c r="U234" s="210"/>
      <c r="V234" s="208"/>
      <c r="W234" s="210"/>
      <c r="X234" s="191"/>
      <c r="AB234" s="195" t="str">
        <f>C234</f>
        <v>RESIST</v>
      </c>
      <c r="AC234" s="219">
        <v>7670</v>
      </c>
      <c r="AD234" s="219">
        <v>7960</v>
      </c>
      <c r="AE234" s="219">
        <v>7710</v>
      </c>
      <c r="AF234" s="219">
        <v>8300</v>
      </c>
      <c r="AG234" s="219"/>
      <c r="AH234" s="219"/>
      <c r="AN234" s="192"/>
      <c r="AO234" s="192"/>
      <c r="AP234" s="192"/>
      <c r="AQ234" s="192"/>
      <c r="AR234" s="192"/>
      <c r="AS234" s="192"/>
      <c r="AT234" s="192"/>
    </row>
    <row r="235" spans="2:46" x14ac:dyDescent="0.25">
      <c r="B235" s="187"/>
      <c r="C235" s="1"/>
      <c r="D235" s="186"/>
      <c r="E235" s="186"/>
      <c r="F235" s="186"/>
      <c r="G235" s="186"/>
      <c r="H235" s="186"/>
      <c r="I235" s="186"/>
      <c r="J235" s="186"/>
      <c r="K235" s="186"/>
      <c r="L235" s="186"/>
      <c r="M235" s="200"/>
      <c r="N235" s="18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</row>
    <row r="236" spans="2:46" x14ac:dyDescent="0.25">
      <c r="B236" s="211" t="str">
        <f>IF($C$1="ENG","For additonal charge:","Послуги за додаткову плату:")</f>
        <v>Послуги за додаткову плату:</v>
      </c>
      <c r="C236" s="212"/>
      <c r="D236" s="213"/>
      <c r="E236" s="214" t="str">
        <f>CONCATENATE(B232," ",C232)</f>
        <v>ЦІНА з ПДВ</v>
      </c>
      <c r="F236" s="215"/>
      <c r="G236" s="215"/>
      <c r="H236" s="215"/>
      <c r="I236" s="215"/>
      <c r="J236" s="215"/>
      <c r="K236" s="215"/>
      <c r="L236" s="215"/>
      <c r="M236" s="215"/>
      <c r="N236" s="215"/>
      <c r="O236" s="215"/>
      <c r="P236" s="215"/>
      <c r="Q236" s="215"/>
      <c r="R236" s="215"/>
      <c r="S236" s="215"/>
      <c r="T236" s="215"/>
      <c r="U236" s="215"/>
      <c r="V236" s="215"/>
      <c r="W236" s="215"/>
      <c r="X236" s="186"/>
    </row>
    <row r="237" spans="2:46" x14ac:dyDescent="0.25">
      <c r="B237" s="187"/>
      <c r="C237" s="1"/>
      <c r="D237" s="186"/>
      <c r="E237" s="186"/>
      <c r="F237" s="186"/>
      <c r="G237" s="186"/>
      <c r="H237" s="186"/>
      <c r="I237" s="186"/>
      <c r="J237" s="186"/>
      <c r="K237" s="186"/>
      <c r="L237" s="186"/>
      <c r="M237" s="186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</row>
    <row r="238" spans="2:46" ht="15" customHeight="1" x14ac:dyDescent="0.25">
      <c r="B238" s="224"/>
      <c r="C238" s="223" t="str">
        <f>IF($C$1="ENG","door leaf with width 100","полотно розміром 100")</f>
        <v>полотно розміром 100</v>
      </c>
      <c r="D238" s="236">
        <f>IF(AC238="","",(1-$W$2)*(AC238/1.2))</f>
        <v>691.66666666666674</v>
      </c>
      <c r="E238" s="227">
        <f>IF($W$5=0.2,D238*1.2,D238)/$W$4</f>
        <v>830.00000000000011</v>
      </c>
      <c r="F238" s="191"/>
      <c r="G238" s="229"/>
      <c r="H238" s="224"/>
      <c r="I238" s="223" t="str">
        <f>IF($C$1="ENG","door lock Soft","замок Soft")</f>
        <v>замок Soft</v>
      </c>
      <c r="J238" s="238">
        <f>IF(AF238="","",(1-$W$2)*(AF238/1.2))</f>
        <v>525</v>
      </c>
      <c r="K238" s="227">
        <f>IF($W$5=0.2,J238*1.2,J238)/$W$4</f>
        <v>630</v>
      </c>
      <c r="L238" s="191"/>
      <c r="M238" s="229"/>
      <c r="N238" s="224"/>
      <c r="O238" s="223" t="str">
        <f>IF($C$1="ENG","cylinder incert","циліндр несиметричний")</f>
        <v>циліндр несиметричний</v>
      </c>
      <c r="P238" s="236">
        <f>IF(AI238="","",(1-$W$2)*(AI238/1.2))</f>
        <v>375</v>
      </c>
      <c r="Q238" s="227">
        <f>IF($W$5=0.2,P238*1.2,P238)/$W$4</f>
        <v>450</v>
      </c>
      <c r="R238" s="186"/>
      <c r="S238" s="186"/>
      <c r="T238" s="186"/>
      <c r="U238" s="186"/>
      <c r="V238" s="186"/>
      <c r="W238" s="186"/>
      <c r="X238" s="186"/>
      <c r="AC238" s="218">
        <v>830</v>
      </c>
      <c r="AF238" s="218">
        <v>630</v>
      </c>
      <c r="AI238" s="218">
        <v>450</v>
      </c>
      <c r="AN238" s="1"/>
      <c r="AO238" s="1"/>
      <c r="AP238" s="1"/>
      <c r="AQ238" s="1"/>
    </row>
    <row r="239" spans="2:46" ht="15" customHeight="1" x14ac:dyDescent="0.25">
      <c r="B239" s="225"/>
      <c r="C239" s="223" t="str">
        <f>IF($C$1="ENG","Ventilation sleeves (1 row)","вентиляційні віддушини (1ряд)")</f>
        <v>вентиляційні віддушини (1ряд)</v>
      </c>
      <c r="D239" s="236">
        <f>IF(AC239="","",(1-$W$2)*(AC239/1.2))</f>
        <v>241.66666666666669</v>
      </c>
      <c r="E239" s="227">
        <f>IF($W$5=0.2,D239*1.2,D239)/$W$4</f>
        <v>290</v>
      </c>
      <c r="F239" s="191"/>
      <c r="G239" s="230"/>
      <c r="H239" s="225"/>
      <c r="I239" s="222" t="str">
        <f>IF($C$1="ENG","door lock Soft black","замок Soft чорн.")</f>
        <v>замок Soft чорн.</v>
      </c>
      <c r="J239" s="239">
        <f>IF(AF239="","",(1-$W$2)*(AF239/1.2))</f>
        <v>650</v>
      </c>
      <c r="K239" s="228">
        <f>IF($W$5=0.2,J239*1.2,J239)/$W$4</f>
        <v>780</v>
      </c>
      <c r="L239" s="191"/>
      <c r="M239" s="230"/>
      <c r="N239" s="225"/>
      <c r="O239" s="222" t="str">
        <f>IF($C$1="ENG","door hindge Prestige (1 unit)","завіса Prestige (1 шт)")</f>
        <v>завіса Prestige (1 шт)</v>
      </c>
      <c r="P239" s="240">
        <f>IF(AI239="","",(1-$W$2)*(AI239/1.2))</f>
        <v>250</v>
      </c>
      <c r="Q239" s="228">
        <f>IF($W$5=0.2,P239*1.2,P239)/$W$4</f>
        <v>300</v>
      </c>
      <c r="R239" s="186"/>
      <c r="S239" s="186"/>
      <c r="T239" s="186"/>
      <c r="U239" s="186"/>
      <c r="V239" s="186"/>
      <c r="W239" s="186"/>
      <c r="X239" s="186"/>
      <c r="AC239" s="218">
        <v>290</v>
      </c>
      <c r="AF239" s="218">
        <v>780</v>
      </c>
      <c r="AI239" s="218">
        <v>300</v>
      </c>
      <c r="AN239" s="1"/>
      <c r="AO239" s="1"/>
      <c r="AP239" s="1"/>
      <c r="AQ239" s="1"/>
    </row>
    <row r="240" spans="2:46" ht="15" customHeight="1" x14ac:dyDescent="0.25">
      <c r="B240" s="225"/>
      <c r="C240" s="222" t="str">
        <f>IF($C$1="ENG","Ventilation cut","вентиляційний підріз")</f>
        <v>вентиляційний підріз</v>
      </c>
      <c r="D240" s="237">
        <f>IF(AC240="","",(1-$W$2)*(AC240/1.2))</f>
        <v>162.5</v>
      </c>
      <c r="E240" s="228">
        <f>IF($W$5=0.2,D240*1.2,D240)/$W$4</f>
        <v>195</v>
      </c>
      <c r="F240" s="191"/>
      <c r="G240" s="230"/>
      <c r="H240" s="225"/>
      <c r="I240" s="222" t="str">
        <f>IF($C$1="ENG","door lock Magnet","замок Magnet")</f>
        <v>замок Magnet</v>
      </c>
      <c r="J240" s="239">
        <f>IF(AF240="","",(1-$W$2)*(AF240/1.2))</f>
        <v>766.66666666666674</v>
      </c>
      <c r="K240" s="228">
        <f>IF($W$5=0.2,J240*1.2,J240)/$W$4</f>
        <v>920.00000000000011</v>
      </c>
      <c r="L240" s="191"/>
      <c r="M240" s="230"/>
      <c r="N240" s="225"/>
      <c r="O240" s="222" t="str">
        <f>IF($C$1="ENG","door hinge caps (1 set)","накладка на завіси (1 к-т)")</f>
        <v>накладка на завіси (1 к-т)</v>
      </c>
      <c r="P240" s="240">
        <f>IF(AI240="","",(1-$W$2)*(AI240/1.2))</f>
        <v>75</v>
      </c>
      <c r="Q240" s="228">
        <f>IF($W$5=0.2,P240*1.2,P240)/$W$4</f>
        <v>90</v>
      </c>
      <c r="R240" s="186"/>
      <c r="S240" s="186"/>
      <c r="T240" s="186"/>
      <c r="U240" s="186"/>
      <c r="V240" s="186"/>
      <c r="W240" s="186"/>
      <c r="X240" s="186"/>
      <c r="AC240" s="218">
        <v>195</v>
      </c>
      <c r="AF240" s="218">
        <v>920</v>
      </c>
      <c r="AI240" s="218">
        <v>90</v>
      </c>
      <c r="AN240" s="1"/>
      <c r="AO240" s="1"/>
      <c r="AP240" s="1"/>
      <c r="AQ240" s="1"/>
    </row>
    <row r="241" spans="2:46" s="8" customFormat="1" ht="15" customHeight="1" x14ac:dyDescent="0.25">
      <c r="B241" s="1"/>
      <c r="C241" s="222" t="str">
        <f>IF($C$1="ENG","glazing Graphite / Bronze","скло Графіт / Бронза")</f>
        <v>скло Графіт / Бронза</v>
      </c>
      <c r="D241" s="237">
        <f>IF(AC241="","",(1-$W$2)*(AC241/1.2))</f>
        <v>525</v>
      </c>
      <c r="E241" s="228">
        <f>IF($W$5=0.2,D241*1.2,D241)/$W$4</f>
        <v>630</v>
      </c>
      <c r="F241" s="184"/>
      <c r="G241" s="231"/>
      <c r="H241" s="226"/>
      <c r="I241" s="222" t="str">
        <f>IF($C$1="ENG","door lock Magnet black","замок Magnet чорн.")</f>
        <v>замок Magnet чорн.</v>
      </c>
      <c r="J241" s="239">
        <f>IF(AF241="","",(1-$W$2)*(AF241/1.2))</f>
        <v>958.33333333333337</v>
      </c>
      <c r="K241" s="228">
        <f>IF($W$5=0.2,J241*1.2,J241)/$W$4</f>
        <v>1150</v>
      </c>
      <c r="L241" s="220"/>
      <c r="M241" s="233"/>
      <c r="N241" s="226"/>
      <c r="O241" s="222" t="str">
        <f>IF($C$1="ENG","door handle","дверна ручка")</f>
        <v>дверна ручка</v>
      </c>
      <c r="P241" s="237">
        <f>IF(AI241="","",(1-$W$2)*(AI241/1.2))</f>
        <v>0</v>
      </c>
      <c r="Q241" s="235" t="str">
        <f>IF($C$1="ENG","see Handles Price","див. Таблицю Ручки")</f>
        <v>див. Таблицю Ручки</v>
      </c>
      <c r="AC241" s="218">
        <v>630</v>
      </c>
      <c r="AF241" s="218">
        <v>1150</v>
      </c>
      <c r="AI241" s="218">
        <v>0</v>
      </c>
      <c r="AK241" s="1"/>
      <c r="AL241" s="1"/>
      <c r="AM241" s="1"/>
      <c r="AN241" s="1"/>
      <c r="AO241" s="1"/>
      <c r="AP241" s="1"/>
      <c r="AQ241" s="1"/>
      <c r="AR241" s="123"/>
      <c r="AS241" s="123"/>
      <c r="AT241" s="123"/>
    </row>
    <row r="242" spans="2:46" ht="15" customHeight="1" x14ac:dyDescent="0.25">
      <c r="C242" s="1"/>
      <c r="F242" s="221"/>
      <c r="G242" s="232"/>
      <c r="H242" s="225"/>
      <c r="I242" s="222" t="str">
        <f>IF($C$1="ENG","door handle-lock (for sliding doors)","ручка-замок (для дверей купе)")</f>
        <v>ручка-замок (для дверей купе)</v>
      </c>
      <c r="J242" s="237">
        <f>IF(AF242="","",(1-$W$2)*(AF242/1.2))</f>
        <v>533.33333333333337</v>
      </c>
      <c r="K242" s="228">
        <f>IF($W$5=0.2,J242*1.2,J242)/$W$4</f>
        <v>640</v>
      </c>
      <c r="L242" s="190"/>
      <c r="AF242" s="218">
        <v>640</v>
      </c>
      <c r="AI242" s="8"/>
      <c r="AN242" s="1"/>
      <c r="AO242" s="1"/>
      <c r="AP242" s="1"/>
      <c r="AQ242" s="1"/>
    </row>
    <row r="243" spans="2:46" x14ac:dyDescent="0.25">
      <c r="C243" s="1"/>
      <c r="F243" s="21"/>
      <c r="G243" s="21"/>
      <c r="H243" s="10"/>
      <c r="I243" s="33"/>
      <c r="J243" s="33"/>
      <c r="K243" s="33"/>
      <c r="S243" s="132"/>
      <c r="T243" s="183"/>
      <c r="U243" s="183"/>
      <c r="V243" s="183"/>
      <c r="W243" s="183"/>
      <c r="AN243" s="1"/>
      <c r="AO243" s="1"/>
      <c r="AP243" s="1"/>
      <c r="AQ243" s="1"/>
    </row>
    <row r="244" spans="2:46" s="8" customFormat="1" x14ac:dyDescent="0.25">
      <c r="B244" s="83"/>
      <c r="S244" s="82"/>
      <c r="T244" s="82"/>
      <c r="U244" s="82"/>
      <c r="V244" s="82"/>
      <c r="AM244" s="123"/>
      <c r="AN244" s="123"/>
      <c r="AO244" s="123"/>
      <c r="AP244" s="123"/>
      <c r="AQ244" s="123"/>
      <c r="AR244" s="123"/>
      <c r="AS244" s="123"/>
    </row>
    <row r="245" spans="2:46" s="8" customFormat="1" x14ac:dyDescent="0.25">
      <c r="B245" s="83"/>
      <c r="S245" s="82"/>
      <c r="T245" s="82"/>
      <c r="U245" s="82"/>
      <c r="V245" s="82"/>
      <c r="AM245" s="123"/>
      <c r="AN245" s="123"/>
      <c r="AO245" s="123"/>
      <c r="AP245" s="123"/>
      <c r="AQ245" s="123"/>
      <c r="AR245" s="123"/>
      <c r="AS245" s="123"/>
    </row>
    <row r="246" spans="2:46" x14ac:dyDescent="0.25">
      <c r="C246" s="110"/>
      <c r="D246" s="21"/>
      <c r="E246" s="21"/>
      <c r="F246" s="21"/>
      <c r="G246" s="21"/>
      <c r="H246" s="5"/>
    </row>
    <row r="247" spans="2:46" s="8" customFormat="1" ht="24.9" customHeight="1" x14ac:dyDescent="0.25">
      <c r="B247" s="246" t="str">
        <f>TITLE!C16</f>
        <v>Полотна збірні: CLASSIC</v>
      </c>
      <c r="C247" s="244"/>
      <c r="D247" s="245"/>
      <c r="E247" s="245"/>
      <c r="F247" s="216"/>
      <c r="G247" s="216"/>
      <c r="H247" s="216"/>
      <c r="I247" s="217"/>
      <c r="J247" s="217"/>
      <c r="K247" s="217"/>
      <c r="L247" s="217"/>
      <c r="M247" s="217"/>
      <c r="N247" s="217"/>
      <c r="O247" s="217"/>
      <c r="P247" s="217"/>
      <c r="Q247" s="217"/>
      <c r="R247" s="217"/>
      <c r="S247" s="217"/>
      <c r="T247" s="217"/>
      <c r="U247" s="217"/>
      <c r="V247" s="217"/>
      <c r="W247" s="217"/>
      <c r="X247" s="185"/>
      <c r="AN247" s="123"/>
      <c r="AO247" s="123"/>
      <c r="AP247" s="123"/>
      <c r="AQ247" s="123"/>
      <c r="AR247" s="123"/>
      <c r="AS247" s="123"/>
      <c r="AT247" s="123"/>
    </row>
    <row r="248" spans="2:46" s="8" customFormat="1" x14ac:dyDescent="0.25">
      <c r="B248" s="83"/>
      <c r="C248" s="162"/>
      <c r="D248" s="247"/>
      <c r="E248" s="247"/>
      <c r="F248" s="247"/>
      <c r="G248" s="247"/>
      <c r="H248" s="10"/>
      <c r="T248" s="90"/>
      <c r="U248" s="90"/>
      <c r="V248" s="90"/>
      <c r="W248" s="90"/>
      <c r="AN248" s="123"/>
      <c r="AO248" s="123"/>
      <c r="AP248" s="123"/>
      <c r="AQ248" s="123"/>
      <c r="AR248" s="123"/>
      <c r="AS248" s="123"/>
      <c r="AT248" s="123"/>
    </row>
    <row r="249" spans="2:46" x14ac:dyDescent="0.25">
      <c r="B249" s="186"/>
      <c r="C249" s="193" t="str">
        <f>IF($C$1="ENG","model:","модель:")</f>
        <v>модель:</v>
      </c>
      <c r="D249" s="186"/>
      <c r="E249" s="196" t="s">
        <v>16</v>
      </c>
      <c r="F249" s="188"/>
      <c r="G249" s="196" t="s">
        <v>61</v>
      </c>
      <c r="H249" s="188"/>
      <c r="I249" s="196" t="s">
        <v>63</v>
      </c>
      <c r="J249" s="188"/>
      <c r="K249" s="196" t="s">
        <v>62</v>
      </c>
      <c r="L249" s="188"/>
      <c r="M249" s="196" t="s">
        <v>14</v>
      </c>
      <c r="N249" s="188"/>
      <c r="O249" s="248"/>
      <c r="P249" s="186"/>
      <c r="Q249" s="186"/>
      <c r="R249" s="186"/>
      <c r="S249" s="186"/>
      <c r="T249" s="186"/>
      <c r="U249" s="186"/>
      <c r="V249" s="186"/>
      <c r="W249" s="186"/>
      <c r="X249" s="186"/>
    </row>
    <row r="250" spans="2:46" x14ac:dyDescent="0.25">
      <c r="B250" s="186"/>
      <c r="C250" s="187"/>
      <c r="D250" s="186"/>
      <c r="E250" s="197"/>
      <c r="F250" s="186"/>
      <c r="G250" s="197"/>
      <c r="H250" s="186"/>
      <c r="I250" s="197"/>
      <c r="J250" s="186"/>
      <c r="K250" s="197"/>
      <c r="L250" s="186"/>
      <c r="M250" s="197"/>
      <c r="N250" s="186"/>
      <c r="O250" s="200"/>
      <c r="P250" s="186"/>
      <c r="Q250" s="186"/>
      <c r="R250" s="186"/>
      <c r="S250" s="186"/>
      <c r="T250" s="186"/>
      <c r="U250" s="186"/>
      <c r="V250" s="186"/>
      <c r="W250" s="186"/>
      <c r="X250" s="186"/>
    </row>
    <row r="251" spans="2:46" x14ac:dyDescent="0.25">
      <c r="B251" s="186"/>
      <c r="C251" s="187"/>
      <c r="D251" s="186"/>
      <c r="E251" s="197"/>
      <c r="F251" s="186"/>
      <c r="G251" s="197"/>
      <c r="H251" s="186"/>
      <c r="I251" s="197"/>
      <c r="J251" s="186"/>
      <c r="K251" s="197"/>
      <c r="L251" s="186"/>
      <c r="M251" s="197"/>
      <c r="N251" s="186"/>
      <c r="O251" s="200"/>
      <c r="P251" s="186"/>
      <c r="Q251" s="186"/>
      <c r="R251" s="186"/>
      <c r="S251" s="186"/>
      <c r="T251" s="186"/>
      <c r="U251" s="186"/>
      <c r="V251" s="186"/>
      <c r="W251" s="186"/>
      <c r="X251" s="186"/>
    </row>
    <row r="252" spans="2:46" x14ac:dyDescent="0.25">
      <c r="B252" s="186"/>
      <c r="C252" s="187"/>
      <c r="D252" s="186"/>
      <c r="E252" s="197"/>
      <c r="F252" s="186"/>
      <c r="G252" s="197"/>
      <c r="H252" s="186"/>
      <c r="I252" s="197"/>
      <c r="J252" s="186"/>
      <c r="K252" s="197"/>
      <c r="L252" s="186"/>
      <c r="M252" s="197"/>
      <c r="N252" s="186"/>
      <c r="O252" s="200"/>
      <c r="P252" s="186"/>
      <c r="Q252" s="186"/>
      <c r="R252" s="186"/>
      <c r="S252" s="186"/>
      <c r="T252" s="186"/>
      <c r="U252" s="186"/>
      <c r="V252" s="186"/>
      <c r="W252" s="186"/>
      <c r="X252" s="186"/>
    </row>
    <row r="253" spans="2:46" x14ac:dyDescent="0.25">
      <c r="B253" s="186"/>
      <c r="C253" s="187"/>
      <c r="D253" s="186"/>
      <c r="E253" s="197"/>
      <c r="F253" s="186"/>
      <c r="G253" s="197"/>
      <c r="H253" s="186"/>
      <c r="I253" s="197"/>
      <c r="J253" s="186"/>
      <c r="K253" s="197"/>
      <c r="L253" s="186"/>
      <c r="M253" s="197"/>
      <c r="N253" s="186"/>
      <c r="O253" s="200"/>
      <c r="P253" s="186"/>
      <c r="Q253" s="186"/>
      <c r="R253" s="186"/>
      <c r="S253" s="186"/>
      <c r="T253" s="186"/>
      <c r="U253" s="186"/>
      <c r="V253" s="186"/>
      <c r="W253" s="186"/>
      <c r="X253" s="186"/>
    </row>
    <row r="254" spans="2:46" x14ac:dyDescent="0.25">
      <c r="B254" s="186"/>
      <c r="C254" s="187"/>
      <c r="D254" s="186"/>
      <c r="E254" s="197"/>
      <c r="F254" s="186"/>
      <c r="G254" s="197"/>
      <c r="H254" s="186"/>
      <c r="I254" s="197"/>
      <c r="J254" s="186"/>
      <c r="K254" s="197"/>
      <c r="L254" s="186"/>
      <c r="M254" s="197"/>
      <c r="N254" s="186"/>
      <c r="O254" s="200"/>
      <c r="P254" s="186"/>
      <c r="Q254" s="186"/>
      <c r="R254" s="186"/>
      <c r="S254" s="186"/>
      <c r="T254" s="186"/>
      <c r="U254" s="186"/>
      <c r="V254" s="186"/>
      <c r="W254" s="186"/>
      <c r="X254" s="186"/>
    </row>
    <row r="255" spans="2:46" x14ac:dyDescent="0.25">
      <c r="B255" s="186"/>
      <c r="C255" s="187"/>
      <c r="D255" s="186"/>
      <c r="E255" s="197"/>
      <c r="F255" s="186"/>
      <c r="G255" s="197"/>
      <c r="H255" s="186"/>
      <c r="I255" s="197"/>
      <c r="J255" s="186"/>
      <c r="K255" s="197"/>
      <c r="L255" s="186"/>
      <c r="M255" s="197"/>
      <c r="N255" s="186"/>
      <c r="O255" s="200"/>
      <c r="P255" s="186"/>
      <c r="Q255" s="186"/>
      <c r="R255" s="186"/>
      <c r="S255" s="186"/>
      <c r="T255" s="186"/>
      <c r="U255" s="186"/>
      <c r="V255" s="186"/>
      <c r="W255" s="186"/>
      <c r="X255" s="186"/>
    </row>
    <row r="256" spans="2:46" x14ac:dyDescent="0.25">
      <c r="B256" s="186"/>
      <c r="C256" s="187"/>
      <c r="D256" s="186"/>
      <c r="E256" s="197"/>
      <c r="F256" s="186"/>
      <c r="G256" s="197"/>
      <c r="H256" s="186"/>
      <c r="I256" s="197"/>
      <c r="J256" s="186"/>
      <c r="K256" s="197"/>
      <c r="L256" s="186"/>
      <c r="M256" s="197"/>
      <c r="N256" s="186"/>
      <c r="O256" s="200"/>
      <c r="P256" s="186"/>
      <c r="Q256" s="186"/>
      <c r="R256" s="186"/>
      <c r="S256" s="186"/>
      <c r="T256" s="186"/>
      <c r="U256" s="186"/>
      <c r="V256" s="186"/>
      <c r="W256" s="186"/>
      <c r="X256" s="186"/>
    </row>
    <row r="257" spans="2:46" x14ac:dyDescent="0.25">
      <c r="B257" s="186"/>
      <c r="C257" s="1"/>
      <c r="D257" s="186"/>
      <c r="E257" s="197"/>
      <c r="F257" s="186"/>
      <c r="G257" s="197"/>
      <c r="H257" s="186"/>
      <c r="I257" s="197"/>
      <c r="J257" s="186"/>
      <c r="K257" s="197"/>
      <c r="L257" s="186"/>
      <c r="M257" s="197"/>
      <c r="N257" s="186"/>
      <c r="O257" s="200"/>
      <c r="P257" s="186"/>
      <c r="Q257" s="186"/>
      <c r="R257" s="186"/>
      <c r="S257" s="186"/>
      <c r="T257" s="186"/>
      <c r="U257" s="186"/>
      <c r="V257" s="186"/>
      <c r="W257" s="186"/>
      <c r="X257" s="186"/>
    </row>
    <row r="258" spans="2:46" x14ac:dyDescent="0.25">
      <c r="B258" s="186"/>
      <c r="C258" s="187" t="str">
        <f>IF($C$1="ENG","filling:","заповнення:")</f>
        <v>заповнення:</v>
      </c>
      <c r="D258" s="186"/>
      <c r="E258" s="198" t="str">
        <f>IF($C$1="ENG","softwood","клеєний брус")</f>
        <v>клеєний брус</v>
      </c>
      <c r="F258" s="189"/>
      <c r="G258" s="198" t="str">
        <f>IF($C$1="ENG","softwood","клеєний брус")</f>
        <v>клеєний брус</v>
      </c>
      <c r="H258" s="189"/>
      <c r="I258" s="198" t="str">
        <f>IF($C$1="ENG","softwood","клеєний брус")</f>
        <v>клеєний брус</v>
      </c>
      <c r="J258" s="189"/>
      <c r="K258" s="198" t="str">
        <f>IF($C$1="ENG","softwood","клеєний брус")</f>
        <v>клеєний брус</v>
      </c>
      <c r="L258" s="189"/>
      <c r="M258" s="198" t="str">
        <f>IF($C$1="ENG","softwood","клеєний брус")</f>
        <v>клеєний брус</v>
      </c>
      <c r="N258" s="189"/>
      <c r="O258" s="249"/>
      <c r="P258" s="186"/>
      <c r="Q258" s="186"/>
      <c r="R258" s="186"/>
      <c r="S258" s="186"/>
      <c r="T258" s="186"/>
      <c r="U258" s="186"/>
      <c r="V258" s="186"/>
      <c r="W258" s="186"/>
      <c r="X258" s="186"/>
    </row>
    <row r="259" spans="2:46" x14ac:dyDescent="0.25">
      <c r="B259" s="186"/>
      <c r="C259" s="187" t="str">
        <f>IF($C$1="ENG","glazing:","скління:")</f>
        <v>скління:</v>
      </c>
      <c r="D259" s="186"/>
      <c r="E259" s="198" t="str">
        <f>IF($C$1="ENG","Satin","Сатин")</f>
        <v>Сатин</v>
      </c>
      <c r="F259" s="189"/>
      <c r="G259" s="198" t="str">
        <f>IF($C$1="ENG","Satin","Сатин")</f>
        <v>Сатин</v>
      </c>
      <c r="H259" s="189"/>
      <c r="I259" s="198" t="str">
        <f>IF($C$1="ENG","Satin","Сатин")</f>
        <v>Сатин</v>
      </c>
      <c r="J259" s="189"/>
      <c r="K259" s="198" t="str">
        <f>IF($C$1="ENG","Satin","Сатин")</f>
        <v>Сатин</v>
      </c>
      <c r="L259" s="189"/>
      <c r="M259" s="198" t="str">
        <f>IF($C$1="ENG","Satin","Сатин")</f>
        <v>Сатин</v>
      </c>
      <c r="N259" s="189"/>
      <c r="O259" s="249"/>
      <c r="P259" s="186"/>
      <c r="Q259" s="186"/>
      <c r="R259" s="186"/>
      <c r="S259" s="186"/>
      <c r="T259" s="186"/>
      <c r="U259" s="186"/>
      <c r="V259" s="186"/>
      <c r="W259" s="186"/>
      <c r="X259" s="186"/>
    </row>
    <row r="260" spans="2:46" x14ac:dyDescent="0.25">
      <c r="D260" s="199"/>
      <c r="E260" s="197"/>
      <c r="F260" s="200"/>
      <c r="G260" s="197"/>
      <c r="H260" s="200"/>
      <c r="I260" s="197"/>
      <c r="J260" s="200"/>
      <c r="K260" s="197"/>
      <c r="L260" s="200"/>
      <c r="M260" s="197"/>
      <c r="N260" s="200"/>
      <c r="O260" s="200"/>
      <c r="P260" s="200"/>
      <c r="Q260" s="200"/>
      <c r="R260" s="200"/>
      <c r="S260" s="200"/>
      <c r="T260" s="200"/>
      <c r="U260" s="200"/>
      <c r="V260" s="200"/>
      <c r="W260" s="200"/>
      <c r="X260" s="186"/>
    </row>
    <row r="261" spans="2:46" s="190" customFormat="1" ht="15" customHeight="1" x14ac:dyDescent="0.25">
      <c r="B261" s="241" t="str">
        <f>IF($C$1="ENG","PRICE","ЦІНА")</f>
        <v>ЦІНА</v>
      </c>
      <c r="C261" s="242" t="str">
        <f>IF($C$1="ENG",IF($W$5=0.2,"with VAT","no VAT"),IF($W$5=0.2,"з ПДВ","без ПДВ"))</f>
        <v>з ПДВ</v>
      </c>
      <c r="D261" s="191"/>
      <c r="E261" s="243"/>
      <c r="F261" s="191"/>
      <c r="G261" s="243"/>
      <c r="H261" s="191"/>
      <c r="I261" s="243"/>
      <c r="J261" s="191"/>
      <c r="K261" s="243"/>
      <c r="L261" s="191"/>
      <c r="M261" s="243"/>
      <c r="N261" s="191"/>
      <c r="O261" s="194"/>
      <c r="P261" s="191"/>
      <c r="Q261" s="191"/>
      <c r="R261" s="191"/>
      <c r="S261" s="191"/>
      <c r="T261" s="191"/>
      <c r="U261" s="191"/>
      <c r="V261" s="191"/>
      <c r="W261" s="191"/>
      <c r="X261" s="191"/>
      <c r="AN261" s="192"/>
      <c r="AO261" s="192"/>
      <c r="AP261" s="192"/>
      <c r="AQ261" s="192"/>
      <c r="AR261" s="192"/>
      <c r="AS261" s="192"/>
      <c r="AT261" s="192"/>
    </row>
    <row r="262" spans="2:46" s="190" customFormat="1" ht="24.9" customHeight="1" x14ac:dyDescent="0.25">
      <c r="B262" s="201" t="str">
        <f>IF($C$1="ENG","Cover:","Покриття:")</f>
        <v>Покриття:</v>
      </c>
      <c r="C262" s="202" t="str">
        <f>IF($C$1="ENG","UNI-MAT","UNI-MAT")</f>
        <v>UNI-MAT</v>
      </c>
      <c r="D262" s="203">
        <f>IF(AC262="","",(1-$W$2)*(AC262/1.2))</f>
        <v>6141.666666666667</v>
      </c>
      <c r="E262" s="204">
        <f>IF($W$5=0.2,D262*1.2,D262)/$W$4</f>
        <v>7370</v>
      </c>
      <c r="F262" s="203">
        <f>IF(AD262="","",(1-$W$2)*(AD262/1.2))</f>
        <v>5933.3333333333339</v>
      </c>
      <c r="G262" s="204">
        <f>IF($W$5=0.2,F262*1.2,F262)/$W$4</f>
        <v>7120.0000000000009</v>
      </c>
      <c r="H262" s="203">
        <f>IF(AE262="","",(1-$W$2)*(AE262/1.2))</f>
        <v>6383.3333333333339</v>
      </c>
      <c r="I262" s="204">
        <f>IF($W$5=0.2,H262*1.2,H262)/$W$4</f>
        <v>7660</v>
      </c>
      <c r="J262" s="203">
        <f>IF(AF262="","",(1-$W$2)*(AF262/1.2))</f>
        <v>6175</v>
      </c>
      <c r="K262" s="204">
        <f>IF($W$5=0.2,J262*1.2,J262)/$W$4</f>
        <v>7410</v>
      </c>
      <c r="L262" s="203">
        <f>IF(AG262="","",(1-$W$2)*(AG262/1.2))</f>
        <v>6641.666666666667</v>
      </c>
      <c r="M262" s="204">
        <f>IF($W$5=0.2,L262*1.2,L262)/$W$4</f>
        <v>7970</v>
      </c>
      <c r="N262" s="203"/>
      <c r="O262" s="205"/>
      <c r="P262" s="203"/>
      <c r="Q262" s="205"/>
      <c r="R262" s="203"/>
      <c r="S262" s="205"/>
      <c r="T262" s="203"/>
      <c r="U262" s="205"/>
      <c r="V262" s="203"/>
      <c r="W262" s="205"/>
      <c r="X262" s="191"/>
      <c r="AB262" s="195" t="str">
        <f>C262</f>
        <v>UNI-MAT</v>
      </c>
      <c r="AC262" s="219">
        <v>7370</v>
      </c>
      <c r="AD262" s="219">
        <v>7120</v>
      </c>
      <c r="AE262" s="219">
        <v>7660</v>
      </c>
      <c r="AF262" s="219">
        <v>7410</v>
      </c>
      <c r="AG262" s="219">
        <v>7970</v>
      </c>
      <c r="AH262" s="219"/>
      <c r="AN262" s="192"/>
      <c r="AO262" s="192"/>
      <c r="AP262" s="192"/>
      <c r="AQ262" s="192"/>
      <c r="AR262" s="192"/>
      <c r="AS262" s="192"/>
      <c r="AT262" s="192"/>
    </row>
    <row r="263" spans="2:46" s="190" customFormat="1" ht="24.9" customHeight="1" x14ac:dyDescent="0.25">
      <c r="B263" s="206"/>
      <c r="C263" s="207" t="str">
        <f>IF($C$1="ENG","RESIST","RESIST")</f>
        <v>RESIST</v>
      </c>
      <c r="D263" s="208">
        <f>IF(AC263="","",(1-$W$2)*(AC263/1.2))</f>
        <v>6391.666666666667</v>
      </c>
      <c r="E263" s="209">
        <f>IF($W$5=0.2,D263*1.2,D263)/$W$4</f>
        <v>7670</v>
      </c>
      <c r="F263" s="208">
        <f>IF(AD263="","",(1-$W$2)*(AD263/1.2))</f>
        <v>6216.666666666667</v>
      </c>
      <c r="G263" s="209">
        <f>IF($W$5=0.2,F263*1.2,F263)/$W$4</f>
        <v>7460</v>
      </c>
      <c r="H263" s="208">
        <f>IF(AE263="","",(1-$W$2)*(AE263/1.2))</f>
        <v>6633.3333333333339</v>
      </c>
      <c r="I263" s="209">
        <f>IF($W$5=0.2,H263*1.2,H263)/$W$4</f>
        <v>7960</v>
      </c>
      <c r="J263" s="208">
        <f>IF(AF263="","",(1-$W$2)*(AF263/1.2))</f>
        <v>6425</v>
      </c>
      <c r="K263" s="209">
        <f>IF($W$5=0.2,J263*1.2,J263)/$W$4</f>
        <v>7710</v>
      </c>
      <c r="L263" s="208">
        <f>IF(AG263="","",(1-$W$2)*(AG263/1.2))</f>
        <v>6916.666666666667</v>
      </c>
      <c r="M263" s="209">
        <f>IF($W$5=0.2,L263*1.2,L263)/$W$4</f>
        <v>8300</v>
      </c>
      <c r="N263" s="208"/>
      <c r="O263" s="210"/>
      <c r="P263" s="208"/>
      <c r="Q263" s="210"/>
      <c r="R263" s="208"/>
      <c r="S263" s="210"/>
      <c r="T263" s="208"/>
      <c r="U263" s="210"/>
      <c r="V263" s="208"/>
      <c r="W263" s="210"/>
      <c r="X263" s="191"/>
      <c r="AB263" s="195" t="str">
        <f>C263</f>
        <v>RESIST</v>
      </c>
      <c r="AC263" s="219">
        <v>7670</v>
      </c>
      <c r="AD263" s="219">
        <v>7460</v>
      </c>
      <c r="AE263" s="219">
        <v>7960</v>
      </c>
      <c r="AF263" s="219">
        <v>7710</v>
      </c>
      <c r="AG263" s="219">
        <v>8300</v>
      </c>
      <c r="AH263" s="219"/>
      <c r="AN263" s="192"/>
      <c r="AO263" s="192"/>
      <c r="AP263" s="192"/>
      <c r="AQ263" s="192"/>
      <c r="AR263" s="192"/>
      <c r="AS263" s="192"/>
      <c r="AT263" s="192"/>
    </row>
    <row r="264" spans="2:46" x14ac:dyDescent="0.25">
      <c r="B264" s="187"/>
      <c r="C264" s="1"/>
      <c r="D264" s="186"/>
      <c r="E264" s="186"/>
      <c r="F264" s="186"/>
      <c r="G264" s="186"/>
      <c r="H264" s="186"/>
      <c r="I264" s="186"/>
      <c r="J264" s="186"/>
      <c r="K264" s="186"/>
      <c r="L264" s="186"/>
      <c r="M264" s="200"/>
      <c r="N264" s="186"/>
      <c r="O264" s="186"/>
      <c r="P264" s="186"/>
      <c r="Q264" s="186"/>
      <c r="R264" s="186"/>
      <c r="S264" s="186"/>
      <c r="T264" s="186"/>
      <c r="U264" s="186"/>
      <c r="V264" s="186"/>
      <c r="W264" s="186"/>
      <c r="X264" s="186"/>
    </row>
    <row r="265" spans="2:46" x14ac:dyDescent="0.25">
      <c r="B265" s="211" t="str">
        <f>IF($C$1="ENG","For additonal charge:","Послуги за додаткову плату:")</f>
        <v>Послуги за додаткову плату:</v>
      </c>
      <c r="C265" s="212"/>
      <c r="D265" s="213"/>
      <c r="E265" s="214" t="str">
        <f>CONCATENATE(B261," ",C261)</f>
        <v>ЦІНА з ПДВ</v>
      </c>
      <c r="F265" s="215"/>
      <c r="G265" s="215"/>
      <c r="H265" s="215"/>
      <c r="I265" s="215"/>
      <c r="J265" s="215"/>
      <c r="K265" s="215"/>
      <c r="L265" s="215"/>
      <c r="M265" s="215"/>
      <c r="N265" s="215"/>
      <c r="O265" s="215"/>
      <c r="P265" s="215"/>
      <c r="Q265" s="215"/>
      <c r="R265" s="215"/>
      <c r="S265" s="215"/>
      <c r="T265" s="215"/>
      <c r="U265" s="215"/>
      <c r="V265" s="215"/>
      <c r="W265" s="215"/>
      <c r="X265" s="186"/>
    </row>
    <row r="266" spans="2:46" x14ac:dyDescent="0.25">
      <c r="B266" s="187"/>
      <c r="C266" s="1"/>
      <c r="D266" s="186"/>
      <c r="E266" s="186"/>
      <c r="F266" s="186"/>
      <c r="G266" s="186"/>
      <c r="H266" s="186"/>
      <c r="I266" s="186"/>
      <c r="J266" s="186"/>
      <c r="K266" s="186"/>
      <c r="L266" s="186"/>
      <c r="M266" s="186"/>
      <c r="N266" s="186"/>
      <c r="O266" s="186"/>
      <c r="P266" s="186"/>
      <c r="Q266" s="186"/>
      <c r="R266" s="186"/>
      <c r="S266" s="186"/>
      <c r="T266" s="186"/>
      <c r="U266" s="186"/>
      <c r="V266" s="186"/>
      <c r="W266" s="186"/>
      <c r="X266" s="186"/>
    </row>
    <row r="267" spans="2:46" ht="15" customHeight="1" x14ac:dyDescent="0.25">
      <c r="B267" s="224"/>
      <c r="C267" s="223" t="str">
        <f>IF($C$1="ENG","door leaf with width 100","полотно розміром 100")</f>
        <v>полотно розміром 100</v>
      </c>
      <c r="D267" s="236">
        <f>IF(AC267="","",(1-$W$2)*(AC267/1.2))</f>
        <v>691.66666666666674</v>
      </c>
      <c r="E267" s="227">
        <f>IF($W$5=0.2,D267*1.2,D267)/$W$4</f>
        <v>830.00000000000011</v>
      </c>
      <c r="F267" s="191"/>
      <c r="G267" s="229"/>
      <c r="H267" s="224"/>
      <c r="I267" s="223" t="str">
        <f>IF($C$1="ENG","door lock Soft","замок Soft")</f>
        <v>замок Soft</v>
      </c>
      <c r="J267" s="238">
        <f>IF(AF267="","",(1-$W$2)*(AF267/1.2))</f>
        <v>525</v>
      </c>
      <c r="K267" s="227">
        <f>IF($W$5=0.2,J267*1.2,J267)/$W$4</f>
        <v>630</v>
      </c>
      <c r="L267" s="191"/>
      <c r="M267" s="229"/>
      <c r="N267" s="224"/>
      <c r="O267" s="223" t="str">
        <f>IF($C$1="ENG","cylinder incert","циліндр несиметричний")</f>
        <v>циліндр несиметричний</v>
      </c>
      <c r="P267" s="236">
        <f>IF(AI267="","",(1-$W$2)*(AI267/1.2))</f>
        <v>375</v>
      </c>
      <c r="Q267" s="227">
        <f>IF($W$5=0.2,P267*1.2,P267)/$W$4</f>
        <v>450</v>
      </c>
      <c r="R267" s="186"/>
      <c r="S267" s="186"/>
      <c r="T267" s="186"/>
      <c r="U267" s="186"/>
      <c r="V267" s="186"/>
      <c r="W267" s="186"/>
      <c r="X267" s="186"/>
      <c r="AC267" s="218">
        <v>830</v>
      </c>
      <c r="AF267" s="218">
        <v>630</v>
      </c>
      <c r="AI267" s="218">
        <v>450</v>
      </c>
      <c r="AN267" s="1"/>
      <c r="AO267" s="1"/>
      <c r="AP267" s="1"/>
      <c r="AQ267" s="1"/>
    </row>
    <row r="268" spans="2:46" ht="15" customHeight="1" x14ac:dyDescent="0.25">
      <c r="B268" s="225"/>
      <c r="C268" s="223" t="str">
        <f>IF($C$1="ENG","Ventilation sleeves (1 row)","вентиляційні віддушини (1ряд)")</f>
        <v>вентиляційні віддушини (1ряд)</v>
      </c>
      <c r="D268" s="236">
        <f>IF(AC268="","",(1-$W$2)*(AC268/1.2))</f>
        <v>241.66666666666669</v>
      </c>
      <c r="E268" s="227">
        <f>IF($W$5=0.2,D268*1.2,D268)/$W$4</f>
        <v>290</v>
      </c>
      <c r="F268" s="191"/>
      <c r="G268" s="230"/>
      <c r="H268" s="225"/>
      <c r="I268" s="222" t="str">
        <f>IF($C$1="ENG","door lock Soft black","замок Soft чорн.")</f>
        <v>замок Soft чорн.</v>
      </c>
      <c r="J268" s="239">
        <f>IF(AF268="","",(1-$W$2)*(AF268/1.2))</f>
        <v>650</v>
      </c>
      <c r="K268" s="228">
        <f>IF($W$5=0.2,J268*1.2,J268)/$W$4</f>
        <v>780</v>
      </c>
      <c r="L268" s="191"/>
      <c r="M268" s="230"/>
      <c r="N268" s="225"/>
      <c r="O268" s="222" t="str">
        <f>IF($C$1="ENG","door hindge Prestige (1 unit)","завіса Prestige (1 шт)")</f>
        <v>завіса Prestige (1 шт)</v>
      </c>
      <c r="P268" s="240">
        <f>IF(AI268="","",(1-$W$2)*(AI268/1.2))</f>
        <v>250</v>
      </c>
      <c r="Q268" s="228">
        <f>IF($W$5=0.2,P268*1.2,P268)/$W$4</f>
        <v>300</v>
      </c>
      <c r="R268" s="186"/>
      <c r="S268" s="186"/>
      <c r="T268" s="186"/>
      <c r="U268" s="186"/>
      <c r="V268" s="186"/>
      <c r="W268" s="186"/>
      <c r="X268" s="186"/>
      <c r="AC268" s="218">
        <v>290</v>
      </c>
      <c r="AF268" s="218">
        <v>780</v>
      </c>
      <c r="AI268" s="218">
        <v>300</v>
      </c>
      <c r="AN268" s="1"/>
      <c r="AO268" s="1"/>
      <c r="AP268" s="1"/>
      <c r="AQ268" s="1"/>
    </row>
    <row r="269" spans="2:46" ht="15" customHeight="1" x14ac:dyDescent="0.25">
      <c r="B269" s="225"/>
      <c r="C269" s="222" t="str">
        <f>IF($C$1="ENG","Ventilation cut","вентиляційний підріз")</f>
        <v>вентиляційний підріз</v>
      </c>
      <c r="D269" s="237">
        <f>IF(AC269="","",(1-$W$2)*(AC269/1.2))</f>
        <v>162.5</v>
      </c>
      <c r="E269" s="228">
        <f>IF($W$5=0.2,D269*1.2,D269)/$W$4</f>
        <v>195</v>
      </c>
      <c r="F269" s="191"/>
      <c r="G269" s="230"/>
      <c r="H269" s="225"/>
      <c r="I269" s="222" t="str">
        <f>IF($C$1="ENG","door lock Magnet","замок Magnet")</f>
        <v>замок Magnet</v>
      </c>
      <c r="J269" s="239">
        <f>IF(AF269="","",(1-$W$2)*(AF269/1.2))</f>
        <v>766.66666666666674</v>
      </c>
      <c r="K269" s="228">
        <f>IF($W$5=0.2,J269*1.2,J269)/$W$4</f>
        <v>920.00000000000011</v>
      </c>
      <c r="L269" s="191"/>
      <c r="M269" s="230"/>
      <c r="N269" s="225"/>
      <c r="O269" s="222" t="str">
        <f>IF($C$1="ENG","door hinge caps (1 set)","накладка на завіси (1 к-т)")</f>
        <v>накладка на завіси (1 к-т)</v>
      </c>
      <c r="P269" s="240">
        <f>IF(AI269="","",(1-$W$2)*(AI269/1.2))</f>
        <v>75</v>
      </c>
      <c r="Q269" s="228">
        <f>IF($W$5=0.2,P269*1.2,P269)/$W$4</f>
        <v>90</v>
      </c>
      <c r="R269" s="186"/>
      <c r="S269" s="186"/>
      <c r="T269" s="186"/>
      <c r="U269" s="186"/>
      <c r="V269" s="186"/>
      <c r="W269" s="186"/>
      <c r="X269" s="186"/>
      <c r="AC269" s="218">
        <v>195</v>
      </c>
      <c r="AF269" s="218">
        <v>920</v>
      </c>
      <c r="AI269" s="218">
        <v>90</v>
      </c>
      <c r="AN269" s="1"/>
      <c r="AO269" s="1"/>
      <c r="AP269" s="1"/>
      <c r="AQ269" s="1"/>
    </row>
    <row r="270" spans="2:46" s="8" customFormat="1" ht="15" customHeight="1" x14ac:dyDescent="0.25">
      <c r="B270" s="1"/>
      <c r="C270" s="222" t="str">
        <f>IF($C$1="ENG","glazing Graphite / Bronze","скло Графіт / Бронза")</f>
        <v>скло Графіт / Бронза</v>
      </c>
      <c r="D270" s="237">
        <f>IF(AC270="","",(1-$W$2)*(AC270/1.2))</f>
        <v>525</v>
      </c>
      <c r="E270" s="228">
        <f>IF($W$5=0.2,D270*1.2,D270)/$W$4</f>
        <v>630</v>
      </c>
      <c r="F270" s="184"/>
      <c r="G270" s="231"/>
      <c r="H270" s="226"/>
      <c r="I270" s="222" t="str">
        <f>IF($C$1="ENG","door lock Magnet black","замок Magnet чорн.")</f>
        <v>замок Magnet чорн.</v>
      </c>
      <c r="J270" s="239">
        <f>IF(AF270="","",(1-$W$2)*(AF270/1.2))</f>
        <v>958.33333333333337</v>
      </c>
      <c r="K270" s="228">
        <f>IF($W$5=0.2,J270*1.2,J270)/$W$4</f>
        <v>1150</v>
      </c>
      <c r="L270" s="220"/>
      <c r="M270" s="233"/>
      <c r="N270" s="226"/>
      <c r="O270" s="222" t="str">
        <f>IF($C$1="ENG","door handle","дверна ручка")</f>
        <v>дверна ручка</v>
      </c>
      <c r="P270" s="237">
        <f>IF(AI270="","",(1-$W$2)*(AI270/1.2))</f>
        <v>0</v>
      </c>
      <c r="Q270" s="235" t="str">
        <f>IF($C$1="ENG","see Handles Price","див. Таблицю Ручки")</f>
        <v>див. Таблицю Ручки</v>
      </c>
      <c r="AC270" s="218">
        <v>630</v>
      </c>
      <c r="AF270" s="218">
        <v>1150</v>
      </c>
      <c r="AI270" s="218">
        <v>0</v>
      </c>
      <c r="AK270" s="1"/>
      <c r="AL270" s="1"/>
      <c r="AM270" s="1"/>
      <c r="AN270" s="1"/>
      <c r="AO270" s="1"/>
      <c r="AP270" s="1"/>
      <c r="AQ270" s="1"/>
      <c r="AR270" s="123"/>
      <c r="AS270" s="123"/>
      <c r="AT270" s="123"/>
    </row>
    <row r="271" spans="2:46" ht="15" customHeight="1" x14ac:dyDescent="0.25">
      <c r="C271" s="1"/>
      <c r="F271" s="221"/>
      <c r="G271" s="232"/>
      <c r="H271" s="225"/>
      <c r="I271" s="222" t="str">
        <f>IF($C$1="ENG","door handle-lock (for sliding doors)","ручка-замок (для дверей купе)")</f>
        <v>ручка-замок (для дверей купе)</v>
      </c>
      <c r="J271" s="237">
        <f>IF(AF271="","",(1-$W$2)*(AF271/1.2))</f>
        <v>533.33333333333337</v>
      </c>
      <c r="K271" s="228">
        <f>IF($W$5=0.2,J271*1.2,J271)/$W$4</f>
        <v>640</v>
      </c>
      <c r="L271" s="190"/>
      <c r="AF271" s="218">
        <v>640</v>
      </c>
      <c r="AI271" s="8"/>
      <c r="AN271" s="1"/>
      <c r="AO271" s="1"/>
      <c r="AP271" s="1"/>
      <c r="AQ271" s="1"/>
    </row>
    <row r="272" spans="2:46" x14ac:dyDescent="0.25">
      <c r="C272" s="1"/>
      <c r="F272" s="21"/>
      <c r="G272" s="21"/>
      <c r="H272" s="10"/>
      <c r="I272" s="33"/>
      <c r="J272" s="33"/>
      <c r="K272" s="33"/>
      <c r="S272" s="132"/>
      <c r="T272" s="183"/>
      <c r="U272" s="183"/>
      <c r="V272" s="183"/>
      <c r="W272" s="183"/>
    </row>
    <row r="273" spans="2:46" x14ac:dyDescent="0.25">
      <c r="C273" s="110"/>
      <c r="D273" s="21"/>
      <c r="E273" s="21"/>
      <c r="F273" s="21"/>
      <c r="G273" s="21"/>
      <c r="H273" s="5"/>
    </row>
    <row r="274" spans="2:46" x14ac:dyDescent="0.25">
      <c r="C274" s="110"/>
      <c r="D274" s="21"/>
      <c r="E274" s="21"/>
      <c r="F274" s="21"/>
      <c r="G274" s="21"/>
      <c r="H274" s="5"/>
    </row>
    <row r="275" spans="2:46" x14ac:dyDescent="0.25">
      <c r="C275" s="110"/>
      <c r="D275" s="21"/>
      <c r="E275" s="21"/>
      <c r="F275" s="21"/>
      <c r="G275" s="21"/>
      <c r="H275" s="5"/>
    </row>
    <row r="276" spans="2:46" s="8" customFormat="1" ht="24.9" customHeight="1" x14ac:dyDescent="0.25">
      <c r="B276" s="246" t="str">
        <f>TITLE!C17</f>
        <v>Полотна збірні: PROVENCE</v>
      </c>
      <c r="C276" s="244"/>
      <c r="D276" s="245"/>
      <c r="E276" s="245"/>
      <c r="F276" s="216"/>
      <c r="G276" s="216"/>
      <c r="H276" s="216"/>
      <c r="I276" s="217"/>
      <c r="J276" s="217"/>
      <c r="K276" s="217"/>
      <c r="L276" s="217"/>
      <c r="M276" s="217"/>
      <c r="N276" s="217"/>
      <c r="O276" s="217"/>
      <c r="P276" s="217"/>
      <c r="Q276" s="217"/>
      <c r="R276" s="217"/>
      <c r="S276" s="217"/>
      <c r="T276" s="217"/>
      <c r="U276" s="217"/>
      <c r="V276" s="217"/>
      <c r="W276" s="217"/>
      <c r="X276" s="185"/>
      <c r="AN276" s="123"/>
      <c r="AO276" s="123"/>
      <c r="AP276" s="123"/>
      <c r="AQ276" s="123"/>
      <c r="AR276" s="123"/>
      <c r="AS276" s="123"/>
      <c r="AT276" s="123"/>
    </row>
    <row r="277" spans="2:46" s="8" customFormat="1" x14ac:dyDescent="0.25">
      <c r="B277" s="83"/>
      <c r="C277" s="162"/>
      <c r="D277" s="247"/>
      <c r="E277" s="247"/>
      <c r="F277" s="247"/>
      <c r="G277" s="247"/>
      <c r="H277" s="10"/>
      <c r="T277" s="90"/>
      <c r="U277" s="90"/>
      <c r="V277" s="90"/>
      <c r="W277" s="90"/>
      <c r="AN277" s="123"/>
      <c r="AO277" s="123"/>
      <c r="AP277" s="123"/>
      <c r="AQ277" s="123"/>
      <c r="AR277" s="123"/>
      <c r="AS277" s="123"/>
      <c r="AT277" s="123"/>
    </row>
    <row r="278" spans="2:46" x14ac:dyDescent="0.25">
      <c r="B278" s="186"/>
      <c r="C278" s="193" t="str">
        <f>IF($C$1="ENG","model:","модель:")</f>
        <v>модель:</v>
      </c>
      <c r="D278" s="186"/>
      <c r="E278" s="196" t="s">
        <v>16</v>
      </c>
      <c r="F278" s="188"/>
      <c r="G278" s="196" t="s">
        <v>63</v>
      </c>
      <c r="H278" s="188"/>
      <c r="I278" s="196" t="s">
        <v>62</v>
      </c>
      <c r="J278" s="188"/>
      <c r="K278" s="196" t="s">
        <v>14</v>
      </c>
      <c r="L278" s="188"/>
      <c r="M278" s="248"/>
      <c r="N278" s="188"/>
      <c r="O278" s="248"/>
      <c r="P278" s="186"/>
      <c r="Q278" s="186"/>
      <c r="R278" s="186"/>
      <c r="S278" s="186"/>
      <c r="T278" s="186"/>
      <c r="U278" s="186"/>
      <c r="V278" s="186"/>
      <c r="W278" s="186"/>
      <c r="X278" s="186"/>
    </row>
    <row r="279" spans="2:46" x14ac:dyDescent="0.25">
      <c r="B279" s="186"/>
      <c r="C279" s="187"/>
      <c r="D279" s="186"/>
      <c r="E279" s="197"/>
      <c r="F279" s="186"/>
      <c r="G279" s="197"/>
      <c r="H279" s="186"/>
      <c r="I279" s="197"/>
      <c r="J279" s="186"/>
      <c r="K279" s="197"/>
      <c r="L279" s="186"/>
      <c r="M279" s="200"/>
      <c r="N279" s="186"/>
      <c r="O279" s="200"/>
      <c r="P279" s="186"/>
      <c r="Q279" s="186"/>
      <c r="R279" s="186"/>
      <c r="S279" s="186"/>
      <c r="T279" s="186"/>
      <c r="U279" s="186"/>
      <c r="V279" s="186"/>
      <c r="W279" s="186"/>
      <c r="X279" s="186"/>
    </row>
    <row r="280" spans="2:46" x14ac:dyDescent="0.25">
      <c r="B280" s="186"/>
      <c r="C280" s="187"/>
      <c r="D280" s="186"/>
      <c r="E280" s="197"/>
      <c r="F280" s="186"/>
      <c r="G280" s="197"/>
      <c r="H280" s="186"/>
      <c r="I280" s="197"/>
      <c r="J280" s="186"/>
      <c r="K280" s="197"/>
      <c r="L280" s="186"/>
      <c r="M280" s="200"/>
      <c r="N280" s="186"/>
      <c r="O280" s="200"/>
      <c r="P280" s="186"/>
      <c r="Q280" s="186"/>
      <c r="R280" s="186"/>
      <c r="S280" s="186"/>
      <c r="T280" s="186"/>
      <c r="U280" s="186"/>
      <c r="V280" s="186"/>
      <c r="W280" s="186"/>
      <c r="X280" s="186"/>
    </row>
    <row r="281" spans="2:46" x14ac:dyDescent="0.25">
      <c r="B281" s="186"/>
      <c r="C281" s="187"/>
      <c r="D281" s="186"/>
      <c r="E281" s="197"/>
      <c r="F281" s="186"/>
      <c r="G281" s="197"/>
      <c r="H281" s="186"/>
      <c r="I281" s="197"/>
      <c r="J281" s="186"/>
      <c r="K281" s="197"/>
      <c r="L281" s="186"/>
      <c r="M281" s="200"/>
      <c r="N281" s="186"/>
      <c r="O281" s="200"/>
      <c r="P281" s="186"/>
      <c r="Q281" s="186"/>
      <c r="R281" s="186"/>
      <c r="S281" s="186"/>
      <c r="T281" s="186"/>
      <c r="U281" s="186"/>
      <c r="V281" s="186"/>
      <c r="W281" s="186"/>
      <c r="X281" s="186"/>
    </row>
    <row r="282" spans="2:46" x14ac:dyDescent="0.25">
      <c r="B282" s="186"/>
      <c r="C282" s="187"/>
      <c r="D282" s="186"/>
      <c r="E282" s="197"/>
      <c r="F282" s="186"/>
      <c r="G282" s="197"/>
      <c r="H282" s="186"/>
      <c r="I282" s="197"/>
      <c r="J282" s="186"/>
      <c r="K282" s="197"/>
      <c r="L282" s="186"/>
      <c r="M282" s="200"/>
      <c r="N282" s="186"/>
      <c r="O282" s="200"/>
      <c r="P282" s="186"/>
      <c r="Q282" s="186"/>
      <c r="R282" s="186"/>
      <c r="S282" s="186"/>
      <c r="T282" s="186"/>
      <c r="U282" s="186"/>
      <c r="V282" s="186"/>
      <c r="W282" s="186"/>
      <c r="X282" s="186"/>
    </row>
    <row r="283" spans="2:46" x14ac:dyDescent="0.25">
      <c r="B283" s="186"/>
      <c r="C283" s="187"/>
      <c r="D283" s="186"/>
      <c r="E283" s="197"/>
      <c r="F283" s="186"/>
      <c r="G283" s="197"/>
      <c r="H283" s="186"/>
      <c r="I283" s="197"/>
      <c r="J283" s="186"/>
      <c r="K283" s="197"/>
      <c r="L283" s="186"/>
      <c r="M283" s="200"/>
      <c r="N283" s="186"/>
      <c r="O283" s="200"/>
      <c r="P283" s="186"/>
      <c r="Q283" s="186"/>
      <c r="R283" s="186"/>
      <c r="S283" s="186"/>
      <c r="T283" s="186"/>
      <c r="U283" s="186"/>
      <c r="V283" s="186"/>
      <c r="W283" s="186"/>
      <c r="X283" s="186"/>
    </row>
    <row r="284" spans="2:46" x14ac:dyDescent="0.25">
      <c r="B284" s="186"/>
      <c r="C284" s="187"/>
      <c r="D284" s="186"/>
      <c r="E284" s="197"/>
      <c r="F284" s="186"/>
      <c r="G284" s="197"/>
      <c r="H284" s="186"/>
      <c r="I284" s="197"/>
      <c r="J284" s="186"/>
      <c r="K284" s="197"/>
      <c r="L284" s="186"/>
      <c r="M284" s="200"/>
      <c r="N284" s="186"/>
      <c r="O284" s="200"/>
      <c r="P284" s="186"/>
      <c r="Q284" s="186"/>
      <c r="R284" s="186"/>
      <c r="S284" s="186"/>
      <c r="T284" s="186"/>
      <c r="U284" s="186"/>
      <c r="V284" s="186"/>
      <c r="W284" s="186"/>
      <c r="X284" s="186"/>
    </row>
    <row r="285" spans="2:46" x14ac:dyDescent="0.25">
      <c r="B285" s="186"/>
      <c r="C285" s="187"/>
      <c r="D285" s="186"/>
      <c r="E285" s="197"/>
      <c r="F285" s="186"/>
      <c r="G285" s="197"/>
      <c r="H285" s="186"/>
      <c r="I285" s="197"/>
      <c r="J285" s="186"/>
      <c r="K285" s="197"/>
      <c r="L285" s="186"/>
      <c r="M285" s="200"/>
      <c r="N285" s="186"/>
      <c r="O285" s="200"/>
      <c r="P285" s="186"/>
      <c r="Q285" s="186"/>
      <c r="R285" s="186"/>
      <c r="S285" s="186"/>
      <c r="T285" s="186"/>
      <c r="U285" s="186"/>
      <c r="V285" s="186"/>
      <c r="W285" s="186"/>
      <c r="X285" s="186"/>
    </row>
    <row r="286" spans="2:46" x14ac:dyDescent="0.25">
      <c r="B286" s="186"/>
      <c r="C286" s="1"/>
      <c r="D286" s="186"/>
      <c r="E286" s="197"/>
      <c r="F286" s="186"/>
      <c r="G286" s="197"/>
      <c r="H286" s="186"/>
      <c r="I286" s="197"/>
      <c r="J286" s="186"/>
      <c r="K286" s="197"/>
      <c r="L286" s="186"/>
      <c r="M286" s="200"/>
      <c r="N286" s="186"/>
      <c r="O286" s="200"/>
      <c r="P286" s="186"/>
      <c r="Q286" s="186"/>
      <c r="R286" s="186"/>
      <c r="S286" s="186"/>
      <c r="T286" s="186"/>
      <c r="U286" s="186"/>
      <c r="V286" s="186"/>
      <c r="W286" s="186"/>
      <c r="X286" s="186"/>
    </row>
    <row r="287" spans="2:46" x14ac:dyDescent="0.25">
      <c r="B287" s="186"/>
      <c r="C287" s="187" t="str">
        <f>IF($C$1="ENG","filling:","заповнення:")</f>
        <v>заповнення:</v>
      </c>
      <c r="D287" s="186"/>
      <c r="E287" s="198" t="str">
        <f>IF($C$1="ENG","softwood","клеєний брус")</f>
        <v>клеєний брус</v>
      </c>
      <c r="F287" s="189"/>
      <c r="G287" s="198" t="str">
        <f>IF($C$1="ENG","softwood","клеєний брус")</f>
        <v>клеєний брус</v>
      </c>
      <c r="H287" s="189"/>
      <c r="I287" s="198" t="str">
        <f>IF($C$1="ENG","softwood","клеєний брус")</f>
        <v>клеєний брус</v>
      </c>
      <c r="J287" s="189"/>
      <c r="K287" s="198" t="str">
        <f>IF($C$1="ENG","softwood","клеєний брус")</f>
        <v>клеєний брус</v>
      </c>
      <c r="L287" s="189"/>
      <c r="M287" s="249"/>
      <c r="N287" s="189"/>
      <c r="O287" s="249"/>
      <c r="P287" s="186"/>
      <c r="Q287" s="186"/>
      <c r="R287" s="186"/>
      <c r="S287" s="186"/>
      <c r="T287" s="186"/>
      <c r="U287" s="186"/>
      <c r="V287" s="186"/>
      <c r="W287" s="186"/>
      <c r="X287" s="186"/>
    </row>
    <row r="288" spans="2:46" x14ac:dyDescent="0.25">
      <c r="B288" s="186"/>
      <c r="C288" s="187" t="str">
        <f>IF($C$1="ENG","glazing:","скління:")</f>
        <v>скління:</v>
      </c>
      <c r="D288" s="186"/>
      <c r="E288" s="198" t="str">
        <f>IF($C$1="ENG","Satin","Сатин")</f>
        <v>Сатин</v>
      </c>
      <c r="F288" s="189"/>
      <c r="G288" s="198" t="str">
        <f>IF($C$1="ENG","Satin","Сатин")</f>
        <v>Сатин</v>
      </c>
      <c r="H288" s="189"/>
      <c r="I288" s="198" t="str">
        <f>IF($C$1="ENG","Satin","Сатин")</f>
        <v>Сатин</v>
      </c>
      <c r="J288" s="189"/>
      <c r="K288" s="198" t="str">
        <f>IF($C$1="ENG","Satin","Сатин")</f>
        <v>Сатин</v>
      </c>
      <c r="L288" s="189"/>
      <c r="M288" s="249"/>
      <c r="N288" s="189"/>
      <c r="O288" s="249"/>
      <c r="P288" s="186"/>
      <c r="Q288" s="186"/>
      <c r="R288" s="186"/>
      <c r="S288" s="186"/>
      <c r="T288" s="186"/>
      <c r="U288" s="186"/>
      <c r="V288" s="186"/>
      <c r="W288" s="186"/>
      <c r="X288" s="186"/>
    </row>
    <row r="289" spans="2:46" x14ac:dyDescent="0.25">
      <c r="D289" s="199"/>
      <c r="E289" s="197"/>
      <c r="F289" s="200"/>
      <c r="G289" s="197"/>
      <c r="H289" s="200"/>
      <c r="I289" s="197"/>
      <c r="J289" s="200"/>
      <c r="K289" s="197"/>
      <c r="L289" s="200"/>
      <c r="M289" s="200"/>
      <c r="N289" s="200"/>
      <c r="O289" s="200"/>
      <c r="P289" s="200"/>
      <c r="Q289" s="200"/>
      <c r="R289" s="200"/>
      <c r="S289" s="200"/>
      <c r="T289" s="200"/>
      <c r="U289" s="200"/>
      <c r="V289" s="200"/>
      <c r="W289" s="200"/>
      <c r="X289" s="186"/>
    </row>
    <row r="290" spans="2:46" s="190" customFormat="1" ht="15" customHeight="1" x14ac:dyDescent="0.25">
      <c r="B290" s="241" t="str">
        <f>IF($C$1="ENG","PRICE","ЦІНА")</f>
        <v>ЦІНА</v>
      </c>
      <c r="C290" s="242" t="str">
        <f>IF($C$1="ENG",IF($W$5=0.2,"with VAT","no VAT"),IF($W$5=0.2,"з ПДВ","без ПДВ"))</f>
        <v>з ПДВ</v>
      </c>
      <c r="D290" s="191"/>
      <c r="E290" s="243"/>
      <c r="F290" s="191"/>
      <c r="G290" s="243"/>
      <c r="H290" s="191"/>
      <c r="I290" s="243"/>
      <c r="J290" s="191"/>
      <c r="K290" s="243"/>
      <c r="L290" s="191"/>
      <c r="M290" s="194"/>
      <c r="N290" s="191"/>
      <c r="O290" s="194"/>
      <c r="P290" s="191"/>
      <c r="Q290" s="191"/>
      <c r="R290" s="191"/>
      <c r="S290" s="191"/>
      <c r="T290" s="191"/>
      <c r="U290" s="191"/>
      <c r="V290" s="191"/>
      <c r="W290" s="191"/>
      <c r="X290" s="191"/>
      <c r="AN290" s="192"/>
      <c r="AO290" s="192"/>
      <c r="AP290" s="192"/>
      <c r="AQ290" s="192"/>
      <c r="AR290" s="192"/>
      <c r="AS290" s="192"/>
      <c r="AT290" s="192"/>
    </row>
    <row r="291" spans="2:46" s="190" customFormat="1" ht="24.9" customHeight="1" x14ac:dyDescent="0.25">
      <c r="B291" s="201" t="str">
        <f>IF($C$1="ENG","Cover:","Покриття:")</f>
        <v>Покриття:</v>
      </c>
      <c r="C291" s="202" t="str">
        <f>IF($C$1="ENG","UNI-MAT","UNI-MAT")</f>
        <v>UNI-MAT</v>
      </c>
      <c r="D291" s="203">
        <f>IF(AC291="","",(1-$W$2)*(AC291/1.2))</f>
        <v>6141.666666666667</v>
      </c>
      <c r="E291" s="204">
        <f>IF($W$5=0.2,D291*1.2,D291)/$W$4</f>
        <v>7370</v>
      </c>
      <c r="F291" s="203">
        <f>IF(AD291="","",(1-$W$2)*(AD291/1.2))</f>
        <v>6383.3333333333339</v>
      </c>
      <c r="G291" s="204">
        <f>IF($W$5=0.2,F291*1.2,F291)/$W$4</f>
        <v>7660</v>
      </c>
      <c r="H291" s="203">
        <f>IF(AE291="","",(1-$W$2)*(AE291/1.2))</f>
        <v>6175</v>
      </c>
      <c r="I291" s="204">
        <f>IF($W$5=0.2,H291*1.2,H291)/$W$4</f>
        <v>7410</v>
      </c>
      <c r="J291" s="203">
        <f>IF(AF291="","",(1-$W$2)*(AF291/1.2))</f>
        <v>6641.666666666667</v>
      </c>
      <c r="K291" s="204">
        <f>IF($W$5=0.2,J291*1.2,J291)/$W$4</f>
        <v>7970</v>
      </c>
      <c r="L291" s="203"/>
      <c r="M291" s="205"/>
      <c r="N291" s="203"/>
      <c r="O291" s="205"/>
      <c r="P291" s="203"/>
      <c r="Q291" s="205"/>
      <c r="R291" s="203"/>
      <c r="S291" s="205"/>
      <c r="T291" s="203"/>
      <c r="U291" s="205"/>
      <c r="V291" s="203"/>
      <c r="W291" s="205"/>
      <c r="X291" s="191"/>
      <c r="AB291" s="195" t="str">
        <f>C291</f>
        <v>UNI-MAT</v>
      </c>
      <c r="AC291" s="219">
        <v>7370</v>
      </c>
      <c r="AD291" s="219">
        <v>7660</v>
      </c>
      <c r="AE291" s="219">
        <v>7410</v>
      </c>
      <c r="AF291" s="219">
        <v>7970</v>
      </c>
      <c r="AG291" s="219"/>
      <c r="AH291" s="219"/>
      <c r="AN291" s="192"/>
      <c r="AO291" s="192"/>
      <c r="AP291" s="192"/>
      <c r="AQ291" s="192"/>
      <c r="AR291" s="192"/>
      <c r="AS291" s="192"/>
      <c r="AT291" s="192"/>
    </row>
    <row r="292" spans="2:46" s="190" customFormat="1" ht="24.9" customHeight="1" x14ac:dyDescent="0.25">
      <c r="B292" s="206"/>
      <c r="C292" s="207" t="str">
        <f>IF($C$1="ENG","RESIST","RESIST")</f>
        <v>RESIST</v>
      </c>
      <c r="D292" s="208">
        <f>IF(AC292="","",(1-$W$2)*(AC292/1.2))</f>
        <v>6391.666666666667</v>
      </c>
      <c r="E292" s="209">
        <f>IF($W$5=0.2,D292*1.2,D292)/$W$4</f>
        <v>7670</v>
      </c>
      <c r="F292" s="208">
        <f>IF(AD292="","",(1-$W$2)*(AD292/1.2))</f>
        <v>6633.3333333333339</v>
      </c>
      <c r="G292" s="209">
        <f>IF($W$5=0.2,F292*1.2,F292)/$W$4</f>
        <v>7960</v>
      </c>
      <c r="H292" s="208">
        <f>IF(AE292="","",(1-$W$2)*(AE292/1.2))</f>
        <v>6425</v>
      </c>
      <c r="I292" s="209">
        <f>IF($W$5=0.2,H292*1.2,H292)/$W$4</f>
        <v>7710</v>
      </c>
      <c r="J292" s="208">
        <f>IF(AF292="","",(1-$W$2)*(AF292/1.2))</f>
        <v>6916.666666666667</v>
      </c>
      <c r="K292" s="209">
        <f>IF($W$5=0.2,J292*1.2,J292)/$W$4</f>
        <v>8300</v>
      </c>
      <c r="L292" s="208"/>
      <c r="M292" s="210"/>
      <c r="N292" s="208"/>
      <c r="O292" s="210"/>
      <c r="P292" s="208"/>
      <c r="Q292" s="210"/>
      <c r="R292" s="208"/>
      <c r="S292" s="210"/>
      <c r="T292" s="208"/>
      <c r="U292" s="210"/>
      <c r="V292" s="208"/>
      <c r="W292" s="210"/>
      <c r="X292" s="191"/>
      <c r="AB292" s="195" t="str">
        <f>C292</f>
        <v>RESIST</v>
      </c>
      <c r="AC292" s="219">
        <v>7670</v>
      </c>
      <c r="AD292" s="219">
        <v>7960</v>
      </c>
      <c r="AE292" s="219">
        <v>7710</v>
      </c>
      <c r="AF292" s="219">
        <v>8300</v>
      </c>
      <c r="AG292" s="219"/>
      <c r="AH292" s="219"/>
      <c r="AN292" s="192"/>
      <c r="AO292" s="192"/>
      <c r="AP292" s="192"/>
      <c r="AQ292" s="192"/>
      <c r="AR292" s="192"/>
      <c r="AS292" s="192"/>
      <c r="AT292" s="192"/>
    </row>
    <row r="293" spans="2:46" x14ac:dyDescent="0.25">
      <c r="B293" s="187"/>
      <c r="C293" s="1"/>
      <c r="D293" s="186"/>
      <c r="E293" s="186"/>
      <c r="F293" s="186"/>
      <c r="G293" s="186"/>
      <c r="H293" s="186"/>
      <c r="I293" s="186"/>
      <c r="J293" s="186"/>
      <c r="K293" s="186"/>
      <c r="L293" s="186"/>
      <c r="M293" s="200"/>
      <c r="N293" s="186"/>
      <c r="O293" s="186"/>
      <c r="P293" s="186"/>
      <c r="Q293" s="186"/>
      <c r="R293" s="186"/>
      <c r="S293" s="186"/>
      <c r="T293" s="186"/>
      <c r="U293" s="186"/>
      <c r="V293" s="186"/>
      <c r="W293" s="186"/>
      <c r="X293" s="186"/>
    </row>
    <row r="294" spans="2:46" x14ac:dyDescent="0.25">
      <c r="B294" s="211" t="str">
        <f>IF($C$1="ENG","For additonal charge:","Послуги за додаткову плату:")</f>
        <v>Послуги за додаткову плату:</v>
      </c>
      <c r="C294" s="212"/>
      <c r="D294" s="213"/>
      <c r="E294" s="214" t="str">
        <f>CONCATENATE(B290," ",C290)</f>
        <v>ЦІНА з ПДВ</v>
      </c>
      <c r="F294" s="215"/>
      <c r="G294" s="215"/>
      <c r="H294" s="215"/>
      <c r="I294" s="215"/>
      <c r="J294" s="215"/>
      <c r="K294" s="215"/>
      <c r="L294" s="215"/>
      <c r="M294" s="215"/>
      <c r="N294" s="215"/>
      <c r="O294" s="215"/>
      <c r="P294" s="215"/>
      <c r="Q294" s="215"/>
      <c r="R294" s="215"/>
      <c r="S294" s="215"/>
      <c r="T294" s="215"/>
      <c r="U294" s="215"/>
      <c r="V294" s="215"/>
      <c r="W294" s="215"/>
      <c r="X294" s="186"/>
    </row>
    <row r="295" spans="2:46" x14ac:dyDescent="0.25">
      <c r="B295" s="187"/>
      <c r="C295" s="1"/>
      <c r="D295" s="186"/>
      <c r="E295" s="186"/>
      <c r="F295" s="186"/>
      <c r="G295" s="186"/>
      <c r="H295" s="186"/>
      <c r="I295" s="186"/>
      <c r="J295" s="186"/>
      <c r="K295" s="186"/>
      <c r="L295" s="186"/>
      <c r="M295" s="186"/>
      <c r="N295" s="186"/>
      <c r="O295" s="186"/>
      <c r="P295" s="186"/>
      <c r="Q295" s="186"/>
      <c r="R295" s="186"/>
      <c r="S295" s="186"/>
      <c r="T295" s="186"/>
      <c r="U295" s="186"/>
      <c r="V295" s="186"/>
      <c r="W295" s="186"/>
      <c r="X295" s="186"/>
    </row>
    <row r="296" spans="2:46" ht="15" customHeight="1" x14ac:dyDescent="0.25">
      <c r="B296" s="224"/>
      <c r="C296" s="223" t="str">
        <f>IF($C$1="ENG","door leaf with width 100","полотно розміром 100")</f>
        <v>полотно розміром 100</v>
      </c>
      <c r="D296" s="236">
        <f>IF(AC296="","",(1-$W$2)*(AC296/1.2))</f>
        <v>691.66666666666674</v>
      </c>
      <c r="E296" s="227">
        <f>IF($W$5=0.2,D296*1.2,D296)/$W$4</f>
        <v>830.00000000000011</v>
      </c>
      <c r="F296" s="191"/>
      <c r="G296" s="229"/>
      <c r="H296" s="224"/>
      <c r="I296" s="223" t="str">
        <f>IF($C$1="ENG","door lock Soft","замок Soft")</f>
        <v>замок Soft</v>
      </c>
      <c r="J296" s="238">
        <f>IF(AF296="","",(1-$W$2)*(AF296/1.2))</f>
        <v>525</v>
      </c>
      <c r="K296" s="227">
        <f>IF($W$5=0.2,J296*1.2,J296)/$W$4</f>
        <v>630</v>
      </c>
      <c r="L296" s="191"/>
      <c r="M296" s="229"/>
      <c r="N296" s="224"/>
      <c r="O296" s="223" t="str">
        <f>IF($C$1="ENG","cylinder incert","циліндр несиметричний")</f>
        <v>циліндр несиметричний</v>
      </c>
      <c r="P296" s="236">
        <f>IF(AI296="","",(1-$W$2)*(AI296/1.2))</f>
        <v>375</v>
      </c>
      <c r="Q296" s="227">
        <f>IF($W$5=0.2,P296*1.2,P296)/$W$4</f>
        <v>450</v>
      </c>
      <c r="R296" s="186"/>
      <c r="S296" s="186"/>
      <c r="T296" s="186"/>
      <c r="U296" s="186"/>
      <c r="V296" s="186"/>
      <c r="W296" s="186"/>
      <c r="X296" s="186"/>
      <c r="AC296" s="218">
        <v>830</v>
      </c>
      <c r="AF296" s="218">
        <v>630</v>
      </c>
      <c r="AI296" s="218">
        <v>450</v>
      </c>
      <c r="AN296" s="1"/>
      <c r="AO296" s="1"/>
      <c r="AP296" s="1"/>
      <c r="AQ296" s="1"/>
    </row>
    <row r="297" spans="2:46" ht="15" customHeight="1" x14ac:dyDescent="0.25">
      <c r="B297" s="225"/>
      <c r="C297" s="223" t="str">
        <f>IF($C$1="ENG","Ventilation sleeves (1 row)","вентиляційні віддушини (1ряд)")</f>
        <v>вентиляційні віддушини (1ряд)</v>
      </c>
      <c r="D297" s="236">
        <f>IF(AC297="","",(1-$W$2)*(AC297/1.2))</f>
        <v>241.66666666666669</v>
      </c>
      <c r="E297" s="227">
        <f>IF($W$5=0.2,D297*1.2,D297)/$W$4</f>
        <v>290</v>
      </c>
      <c r="F297" s="191"/>
      <c r="G297" s="230"/>
      <c r="H297" s="225"/>
      <c r="I297" s="222" t="str">
        <f>IF($C$1="ENG","door lock Soft black","замок Soft чорн.")</f>
        <v>замок Soft чорн.</v>
      </c>
      <c r="J297" s="239">
        <f>IF(AF297="","",(1-$W$2)*(AF297/1.2))</f>
        <v>650</v>
      </c>
      <c r="K297" s="228">
        <f>IF($W$5=0.2,J297*1.2,J297)/$W$4</f>
        <v>780</v>
      </c>
      <c r="L297" s="191"/>
      <c r="M297" s="230"/>
      <c r="N297" s="225"/>
      <c r="O297" s="222" t="str">
        <f>IF($C$1="ENG","door hindge Prestige (1 unit)","завіса Prestige (1 шт)")</f>
        <v>завіса Prestige (1 шт)</v>
      </c>
      <c r="P297" s="240">
        <f>IF(AI297="","",(1-$W$2)*(AI297/1.2))</f>
        <v>250</v>
      </c>
      <c r="Q297" s="228">
        <f>IF($W$5=0.2,P297*1.2,P297)/$W$4</f>
        <v>300</v>
      </c>
      <c r="R297" s="186"/>
      <c r="S297" s="186"/>
      <c r="T297" s="186"/>
      <c r="U297" s="186"/>
      <c r="V297" s="186"/>
      <c r="W297" s="186"/>
      <c r="X297" s="186"/>
      <c r="AC297" s="218">
        <v>290</v>
      </c>
      <c r="AF297" s="218">
        <v>780</v>
      </c>
      <c r="AI297" s="218">
        <v>300</v>
      </c>
      <c r="AN297" s="1"/>
      <c r="AO297" s="1"/>
      <c r="AP297" s="1"/>
      <c r="AQ297" s="1"/>
    </row>
    <row r="298" spans="2:46" ht="15" customHeight="1" x14ac:dyDescent="0.25">
      <c r="B298" s="225"/>
      <c r="C298" s="222" t="str">
        <f>IF($C$1="ENG","Ventilation cut","вентиляційний підріз")</f>
        <v>вентиляційний підріз</v>
      </c>
      <c r="D298" s="237">
        <f>IF(AC298="","",(1-$W$2)*(AC298/1.2))</f>
        <v>162.5</v>
      </c>
      <c r="E298" s="228">
        <f>IF($W$5=0.2,D298*1.2,D298)/$W$4</f>
        <v>195</v>
      </c>
      <c r="F298" s="191"/>
      <c r="G298" s="230"/>
      <c r="H298" s="225"/>
      <c r="I298" s="222" t="str">
        <f>IF($C$1="ENG","door lock Magnet","замок Magnet")</f>
        <v>замок Magnet</v>
      </c>
      <c r="J298" s="239">
        <f>IF(AF298="","",(1-$W$2)*(AF298/1.2))</f>
        <v>766.66666666666674</v>
      </c>
      <c r="K298" s="228">
        <f>IF($W$5=0.2,J298*1.2,J298)/$W$4</f>
        <v>920.00000000000011</v>
      </c>
      <c r="L298" s="191"/>
      <c r="M298" s="230"/>
      <c r="N298" s="225"/>
      <c r="O298" s="222" t="str">
        <f>IF($C$1="ENG","door hinge caps (1 set)","накладка на завіси (1 к-т)")</f>
        <v>накладка на завіси (1 к-т)</v>
      </c>
      <c r="P298" s="240">
        <f>IF(AI298="","",(1-$W$2)*(AI298/1.2))</f>
        <v>75</v>
      </c>
      <c r="Q298" s="228">
        <f>IF($W$5=0.2,P298*1.2,P298)/$W$4</f>
        <v>90</v>
      </c>
      <c r="R298" s="186"/>
      <c r="S298" s="186"/>
      <c r="T298" s="186"/>
      <c r="U298" s="186"/>
      <c r="V298" s="186"/>
      <c r="W298" s="186"/>
      <c r="X298" s="186"/>
      <c r="AC298" s="218">
        <v>195</v>
      </c>
      <c r="AF298" s="218">
        <v>920</v>
      </c>
      <c r="AI298" s="218">
        <v>90</v>
      </c>
      <c r="AN298" s="1"/>
      <c r="AO298" s="1"/>
      <c r="AP298" s="1"/>
      <c r="AQ298" s="1"/>
    </row>
    <row r="299" spans="2:46" s="8" customFormat="1" ht="15" customHeight="1" x14ac:dyDescent="0.25">
      <c r="B299" s="1"/>
      <c r="C299" s="222" t="str">
        <f>IF($C$1="ENG","glazing Graphite / Bronze","скло Графіт / Бронза")</f>
        <v>скло Графіт / Бронза</v>
      </c>
      <c r="D299" s="237">
        <f>IF(AC299="","",(1-$W$2)*(AC299/1.2))</f>
        <v>525</v>
      </c>
      <c r="E299" s="228">
        <f>IF($W$5=0.2,D299*1.2,D299)/$W$4</f>
        <v>630</v>
      </c>
      <c r="F299" s="184"/>
      <c r="G299" s="231"/>
      <c r="H299" s="226"/>
      <c r="I299" s="222" t="str">
        <f>IF($C$1="ENG","door lock Magnet black","замок Magnet чорн.")</f>
        <v>замок Magnet чорн.</v>
      </c>
      <c r="J299" s="239">
        <f>IF(AF299="","",(1-$W$2)*(AF299/1.2))</f>
        <v>958.33333333333337</v>
      </c>
      <c r="K299" s="228">
        <f>IF($W$5=0.2,J299*1.2,J299)/$W$4</f>
        <v>1150</v>
      </c>
      <c r="L299" s="220"/>
      <c r="M299" s="233"/>
      <c r="N299" s="226"/>
      <c r="O299" s="222" t="str">
        <f>IF($C$1="ENG","door handle","дверна ручка")</f>
        <v>дверна ручка</v>
      </c>
      <c r="P299" s="237">
        <f>IF(AI299="","",(1-$W$2)*(AI299/1.2))</f>
        <v>0</v>
      </c>
      <c r="Q299" s="235" t="str">
        <f>IF($C$1="ENG","see Handles Price","див. Таблицю Ручки")</f>
        <v>див. Таблицю Ручки</v>
      </c>
      <c r="AC299" s="218">
        <v>630</v>
      </c>
      <c r="AF299" s="218">
        <v>1150</v>
      </c>
      <c r="AI299" s="218">
        <v>0</v>
      </c>
      <c r="AK299" s="1"/>
      <c r="AL299" s="1"/>
      <c r="AM299" s="1"/>
      <c r="AN299" s="1"/>
      <c r="AO299" s="1"/>
      <c r="AP299" s="1"/>
      <c r="AQ299" s="1"/>
      <c r="AR299" s="123"/>
      <c r="AS299" s="123"/>
      <c r="AT299" s="123"/>
    </row>
    <row r="300" spans="2:46" ht="15" customHeight="1" x14ac:dyDescent="0.25">
      <c r="C300" s="1"/>
      <c r="F300" s="221"/>
      <c r="G300" s="232"/>
      <c r="H300" s="225"/>
      <c r="I300" s="222" t="str">
        <f>IF($C$1="ENG","door handle-lock (for sliding doors)","ручка-замок (для дверей купе)")</f>
        <v>ручка-замок (для дверей купе)</v>
      </c>
      <c r="J300" s="237">
        <f>IF(AF300="","",(1-$W$2)*(AF300/1.2))</f>
        <v>533.33333333333337</v>
      </c>
      <c r="K300" s="228">
        <f>IF($W$5=0.2,J300*1.2,J300)/$W$4</f>
        <v>640</v>
      </c>
      <c r="L300" s="190"/>
      <c r="AF300" s="218">
        <v>640</v>
      </c>
      <c r="AI300" s="8"/>
      <c r="AN300" s="1"/>
      <c r="AO300" s="1"/>
      <c r="AP300" s="1"/>
      <c r="AQ300" s="1"/>
    </row>
    <row r="301" spans="2:46" x14ac:dyDescent="0.25">
      <c r="C301" s="1"/>
      <c r="F301" s="21"/>
      <c r="G301" s="21"/>
      <c r="H301" s="10"/>
      <c r="I301" s="33"/>
      <c r="J301" s="33"/>
      <c r="K301" s="33"/>
      <c r="S301" s="132"/>
      <c r="T301" s="183"/>
      <c r="U301" s="183"/>
      <c r="V301" s="183"/>
      <c r="W301" s="183"/>
    </row>
    <row r="302" spans="2:46" s="8" customFormat="1" x14ac:dyDescent="0.25">
      <c r="B302" s="83"/>
      <c r="S302" s="82"/>
      <c r="T302" s="82"/>
      <c r="U302" s="82"/>
      <c r="V302" s="82"/>
      <c r="AM302" s="123"/>
      <c r="AN302" s="123"/>
      <c r="AO302" s="123"/>
      <c r="AP302" s="123"/>
      <c r="AQ302" s="123"/>
      <c r="AR302" s="123"/>
      <c r="AS302" s="123"/>
    </row>
    <row r="303" spans="2:46" s="8" customFormat="1" x14ac:dyDescent="0.25">
      <c r="B303" s="83"/>
      <c r="S303" s="82"/>
      <c r="T303" s="82"/>
      <c r="U303" s="82"/>
      <c r="V303" s="82"/>
      <c r="AM303" s="123"/>
      <c r="AN303" s="123"/>
      <c r="AO303" s="123"/>
      <c r="AP303" s="123"/>
      <c r="AQ303" s="123"/>
      <c r="AR303" s="123"/>
      <c r="AS303" s="123"/>
    </row>
    <row r="304" spans="2:46" s="8" customFormat="1" x14ac:dyDescent="0.25">
      <c r="B304" s="83"/>
      <c r="C304" s="162"/>
      <c r="D304" s="10"/>
      <c r="E304" s="10"/>
      <c r="F304" s="10"/>
      <c r="G304" s="10"/>
      <c r="H304" s="93"/>
      <c r="S304" s="82"/>
      <c r="T304" s="82"/>
      <c r="U304" s="82"/>
      <c r="V304" s="82"/>
      <c r="AM304" s="123"/>
      <c r="AN304" s="123"/>
      <c r="AO304" s="123"/>
      <c r="AP304" s="123"/>
      <c r="AQ304" s="123"/>
      <c r="AR304" s="123"/>
      <c r="AS304" s="123"/>
    </row>
    <row r="305" spans="2:46" s="8" customFormat="1" ht="24.9" customHeight="1" x14ac:dyDescent="0.25">
      <c r="B305" s="246" t="str">
        <f>TITLE!$C$18</f>
        <v>Полотна збірні: LADA A</v>
      </c>
      <c r="C305" s="244"/>
      <c r="D305" s="245"/>
      <c r="E305" s="245"/>
      <c r="F305" s="216"/>
      <c r="G305" s="216"/>
      <c r="H305" s="216"/>
      <c r="I305" s="217"/>
      <c r="J305" s="217"/>
      <c r="K305" s="217"/>
      <c r="L305" s="217"/>
      <c r="M305" s="217"/>
      <c r="N305" s="217"/>
      <c r="O305" s="217"/>
      <c r="P305" s="217"/>
      <c r="Q305" s="217"/>
      <c r="R305" s="217"/>
      <c r="S305" s="217"/>
      <c r="T305" s="217"/>
      <c r="U305" s="217"/>
      <c r="V305" s="217"/>
      <c r="W305" s="217"/>
      <c r="X305" s="185"/>
      <c r="AN305" s="123"/>
      <c r="AO305" s="123"/>
      <c r="AP305" s="123"/>
      <c r="AQ305" s="123"/>
      <c r="AR305" s="123"/>
      <c r="AS305" s="123"/>
      <c r="AT305" s="123"/>
    </row>
    <row r="306" spans="2:46" s="8" customFormat="1" x14ac:dyDescent="0.25">
      <c r="B306" s="83"/>
      <c r="C306" s="162"/>
      <c r="D306" s="247"/>
      <c r="E306" s="247"/>
      <c r="F306" s="247"/>
      <c r="G306" s="247"/>
      <c r="H306" s="10"/>
      <c r="T306" s="90"/>
      <c r="U306" s="90"/>
      <c r="V306" s="90"/>
      <c r="W306" s="90"/>
      <c r="AN306" s="123"/>
      <c r="AO306" s="123"/>
      <c r="AP306" s="123"/>
      <c r="AQ306" s="123"/>
      <c r="AR306" s="123"/>
      <c r="AS306" s="123"/>
      <c r="AT306" s="123"/>
    </row>
    <row r="307" spans="2:46" x14ac:dyDescent="0.25">
      <c r="B307" s="186"/>
      <c r="C307" s="193" t="str">
        <f>IF($C$1="ENG","model:","модель:")</f>
        <v>модель:</v>
      </c>
      <c r="D307" s="186"/>
      <c r="E307" s="196" t="s">
        <v>26</v>
      </c>
      <c r="F307" s="188"/>
      <c r="G307" s="196" t="s">
        <v>27</v>
      </c>
      <c r="H307" s="188"/>
      <c r="I307" s="196" t="s">
        <v>36</v>
      </c>
      <c r="J307" s="188"/>
      <c r="K307" s="248"/>
      <c r="L307" s="188"/>
      <c r="M307" s="248"/>
      <c r="N307" s="188"/>
      <c r="O307" s="248"/>
      <c r="P307" s="186"/>
      <c r="Q307" s="186"/>
      <c r="R307" s="186"/>
      <c r="S307" s="186"/>
      <c r="T307" s="186"/>
      <c r="U307" s="186"/>
      <c r="V307" s="186"/>
      <c r="W307" s="186"/>
      <c r="X307" s="186"/>
    </row>
    <row r="308" spans="2:46" x14ac:dyDescent="0.25">
      <c r="B308" s="186"/>
      <c r="C308" s="187"/>
      <c r="D308" s="186"/>
      <c r="E308" s="197"/>
      <c r="F308" s="186"/>
      <c r="G308" s="197"/>
      <c r="H308" s="186"/>
      <c r="I308" s="197"/>
      <c r="J308" s="186"/>
      <c r="K308" s="200"/>
      <c r="L308" s="186"/>
      <c r="M308" s="200"/>
      <c r="N308" s="186"/>
      <c r="O308" s="200"/>
      <c r="P308" s="186"/>
      <c r="Q308" s="186"/>
      <c r="R308" s="186"/>
      <c r="S308" s="186"/>
      <c r="T308" s="186"/>
      <c r="U308" s="186"/>
      <c r="V308" s="186"/>
      <c r="W308" s="186"/>
      <c r="X308" s="186"/>
    </row>
    <row r="309" spans="2:46" x14ac:dyDescent="0.25">
      <c r="B309" s="186"/>
      <c r="C309" s="187"/>
      <c r="D309" s="186"/>
      <c r="E309" s="197"/>
      <c r="F309" s="186"/>
      <c r="G309" s="197"/>
      <c r="H309" s="186"/>
      <c r="I309" s="197"/>
      <c r="J309" s="186"/>
      <c r="K309" s="200"/>
      <c r="L309" s="186"/>
      <c r="M309" s="200"/>
      <c r="N309" s="186"/>
      <c r="O309" s="200"/>
      <c r="P309" s="186"/>
      <c r="Q309" s="186"/>
      <c r="R309" s="186"/>
      <c r="S309" s="186"/>
      <c r="T309" s="186"/>
      <c r="U309" s="186"/>
      <c r="V309" s="186"/>
      <c r="W309" s="186"/>
      <c r="X309" s="186"/>
    </row>
    <row r="310" spans="2:46" x14ac:dyDescent="0.25">
      <c r="B310" s="186"/>
      <c r="C310" s="187"/>
      <c r="D310" s="186"/>
      <c r="E310" s="197"/>
      <c r="F310" s="186"/>
      <c r="G310" s="197"/>
      <c r="H310" s="186"/>
      <c r="I310" s="197"/>
      <c r="J310" s="186"/>
      <c r="K310" s="200"/>
      <c r="L310" s="186"/>
      <c r="M310" s="200"/>
      <c r="N310" s="186"/>
      <c r="O310" s="200"/>
      <c r="P310" s="186"/>
      <c r="Q310" s="186"/>
      <c r="R310" s="186"/>
      <c r="S310" s="186"/>
      <c r="T310" s="186"/>
      <c r="U310" s="186"/>
      <c r="V310" s="186"/>
      <c r="W310" s="186"/>
      <c r="X310" s="186"/>
    </row>
    <row r="311" spans="2:46" x14ac:dyDescent="0.25">
      <c r="B311" s="186"/>
      <c r="C311" s="187"/>
      <c r="D311" s="186"/>
      <c r="E311" s="197"/>
      <c r="F311" s="186"/>
      <c r="G311" s="197"/>
      <c r="H311" s="186"/>
      <c r="I311" s="197"/>
      <c r="J311" s="186"/>
      <c r="K311" s="200"/>
      <c r="L311" s="186"/>
      <c r="M311" s="200"/>
      <c r="N311" s="186"/>
      <c r="O311" s="200"/>
      <c r="P311" s="186"/>
      <c r="Q311" s="186"/>
      <c r="R311" s="186"/>
      <c r="S311" s="186"/>
      <c r="T311" s="186"/>
      <c r="U311" s="186"/>
      <c r="V311" s="186"/>
      <c r="W311" s="186"/>
      <c r="X311" s="186"/>
    </row>
    <row r="312" spans="2:46" x14ac:dyDescent="0.25">
      <c r="B312" s="186"/>
      <c r="C312" s="187"/>
      <c r="D312" s="186"/>
      <c r="E312" s="197"/>
      <c r="F312" s="186"/>
      <c r="G312" s="197"/>
      <c r="H312" s="186"/>
      <c r="I312" s="197"/>
      <c r="J312" s="186"/>
      <c r="K312" s="200"/>
      <c r="L312" s="186"/>
      <c r="M312" s="200"/>
      <c r="N312" s="186"/>
      <c r="O312" s="200"/>
      <c r="P312" s="186"/>
      <c r="Q312" s="186"/>
      <c r="R312" s="186"/>
      <c r="S312" s="186"/>
      <c r="T312" s="186"/>
      <c r="U312" s="186"/>
      <c r="V312" s="186"/>
      <c r="W312" s="186"/>
      <c r="X312" s="186"/>
    </row>
    <row r="313" spans="2:46" x14ac:dyDescent="0.25">
      <c r="B313" s="186"/>
      <c r="C313" s="187"/>
      <c r="D313" s="186"/>
      <c r="E313" s="197"/>
      <c r="F313" s="186"/>
      <c r="G313" s="197"/>
      <c r="H313" s="186"/>
      <c r="I313" s="197"/>
      <c r="J313" s="186"/>
      <c r="K313" s="200"/>
      <c r="L313" s="186"/>
      <c r="M313" s="200"/>
      <c r="N313" s="186"/>
      <c r="O313" s="200"/>
      <c r="P313" s="186"/>
      <c r="Q313" s="186"/>
      <c r="R313" s="186"/>
      <c r="S313" s="186"/>
      <c r="T313" s="186"/>
      <c r="U313" s="186"/>
      <c r="V313" s="186"/>
      <c r="W313" s="186"/>
      <c r="X313" s="186"/>
    </row>
    <row r="314" spans="2:46" x14ac:dyDescent="0.25">
      <c r="B314" s="186"/>
      <c r="C314" s="187"/>
      <c r="D314" s="186"/>
      <c r="E314" s="197"/>
      <c r="F314" s="186"/>
      <c r="G314" s="197"/>
      <c r="H314" s="186"/>
      <c r="I314" s="197"/>
      <c r="J314" s="186"/>
      <c r="K314" s="200"/>
      <c r="L314" s="186"/>
      <c r="M314" s="200"/>
      <c r="N314" s="186"/>
      <c r="O314" s="200"/>
      <c r="P314" s="186"/>
      <c r="Q314" s="186"/>
      <c r="R314" s="186"/>
      <c r="S314" s="186"/>
      <c r="T314" s="186"/>
      <c r="U314" s="186"/>
      <c r="V314" s="186"/>
      <c r="W314" s="186"/>
      <c r="X314" s="186"/>
    </row>
    <row r="315" spans="2:46" x14ac:dyDescent="0.25">
      <c r="B315" s="186"/>
      <c r="C315" s="1"/>
      <c r="D315" s="186"/>
      <c r="E315" s="197"/>
      <c r="F315" s="186"/>
      <c r="G315" s="197"/>
      <c r="H315" s="186"/>
      <c r="I315" s="197"/>
      <c r="J315" s="186"/>
      <c r="K315" s="200"/>
      <c r="L315" s="186"/>
      <c r="M315" s="200"/>
      <c r="N315" s="186"/>
      <c r="O315" s="200"/>
      <c r="P315" s="186"/>
      <c r="Q315" s="186"/>
      <c r="R315" s="186"/>
      <c r="S315" s="186"/>
      <c r="T315" s="186"/>
      <c r="U315" s="186"/>
      <c r="V315" s="186"/>
      <c r="W315" s="186"/>
      <c r="X315" s="186"/>
    </row>
    <row r="316" spans="2:46" x14ac:dyDescent="0.25">
      <c r="B316" s="186"/>
      <c r="C316" s="187" t="str">
        <f>IF($C$1="ENG","filling:","заповнення:")</f>
        <v>заповнення:</v>
      </c>
      <c r="D316" s="186"/>
      <c r="E316" s="198" t="str">
        <f>IF($C$1="ENG","softwood","клеєний брус")</f>
        <v>клеєний брус</v>
      </c>
      <c r="F316" s="189"/>
      <c r="G316" s="198" t="str">
        <f>IF($C$1="ENG","softwood","клеєний брус")</f>
        <v>клеєний брус</v>
      </c>
      <c r="H316" s="189"/>
      <c r="I316" s="198" t="str">
        <f>IF($C$1="ENG","softwood","клеєний брус")</f>
        <v>клеєний брус</v>
      </c>
      <c r="J316" s="189"/>
      <c r="K316" s="249"/>
      <c r="L316" s="189"/>
      <c r="M316" s="249"/>
      <c r="N316" s="189"/>
      <c r="O316" s="249"/>
      <c r="P316" s="186"/>
      <c r="Q316" s="186"/>
      <c r="R316" s="186"/>
      <c r="S316" s="186"/>
      <c r="T316" s="186"/>
      <c r="U316" s="186"/>
      <c r="V316" s="186"/>
      <c r="W316" s="186"/>
      <c r="X316" s="186"/>
    </row>
    <row r="317" spans="2:46" x14ac:dyDescent="0.25">
      <c r="B317" s="186"/>
      <c r="C317" s="187" t="str">
        <f>IF($C$1="ENG","glazing:","скління:")</f>
        <v>скління:</v>
      </c>
      <c r="D317" s="186"/>
      <c r="E317" s="198" t="str">
        <f>IF($C$1="ENG","Satin","Сатин")</f>
        <v>Сатин</v>
      </c>
      <c r="F317" s="189"/>
      <c r="G317" s="198" t="str">
        <f>IF($C$1="ENG","Satin","Сатин")</f>
        <v>Сатин</v>
      </c>
      <c r="H317" s="189"/>
      <c r="I317" s="198" t="str">
        <f>IF($C$1="ENG","Satin","Сатин")</f>
        <v>Сатин</v>
      </c>
      <c r="J317" s="189"/>
      <c r="K317" s="249"/>
      <c r="L317" s="189"/>
      <c r="M317" s="249"/>
      <c r="N317" s="189"/>
      <c r="O317" s="249"/>
      <c r="P317" s="186"/>
      <c r="Q317" s="186"/>
      <c r="R317" s="186"/>
      <c r="S317" s="186"/>
      <c r="T317" s="186"/>
      <c r="U317" s="186"/>
      <c r="V317" s="186"/>
      <c r="W317" s="186"/>
      <c r="X317" s="186"/>
    </row>
    <row r="318" spans="2:46" x14ac:dyDescent="0.25">
      <c r="D318" s="199"/>
      <c r="E318" s="197"/>
      <c r="F318" s="200"/>
      <c r="G318" s="197"/>
      <c r="H318" s="200"/>
      <c r="I318" s="197"/>
      <c r="J318" s="200"/>
      <c r="K318" s="200"/>
      <c r="L318" s="200"/>
      <c r="M318" s="200"/>
      <c r="N318" s="200"/>
      <c r="O318" s="200"/>
      <c r="P318" s="200"/>
      <c r="Q318" s="200"/>
      <c r="R318" s="200"/>
      <c r="S318" s="200"/>
      <c r="T318" s="200"/>
      <c r="U318" s="200"/>
      <c r="V318" s="200"/>
      <c r="W318" s="200"/>
      <c r="X318" s="186"/>
    </row>
    <row r="319" spans="2:46" s="190" customFormat="1" ht="15" customHeight="1" x14ac:dyDescent="0.25">
      <c r="B319" s="241" t="str">
        <f>IF($C$1="ENG","PRICE","ЦІНА")</f>
        <v>ЦІНА</v>
      </c>
      <c r="C319" s="242" t="str">
        <f>IF($C$1="ENG",IF($W$5=0.2,"with VAT","no VAT"),IF($W$5=0.2,"з ПДВ","без ПДВ"))</f>
        <v>з ПДВ</v>
      </c>
      <c r="D319" s="191"/>
      <c r="E319" s="243"/>
      <c r="F319" s="191"/>
      <c r="G319" s="243"/>
      <c r="H319" s="191"/>
      <c r="I319" s="243"/>
      <c r="J319" s="191"/>
      <c r="K319" s="194"/>
      <c r="L319" s="191"/>
      <c r="M319" s="194"/>
      <c r="N319" s="191"/>
      <c r="O319" s="194"/>
      <c r="P319" s="191"/>
      <c r="Q319" s="191"/>
      <c r="R319" s="191"/>
      <c r="S319" s="191"/>
      <c r="T319" s="191"/>
      <c r="U319" s="191"/>
      <c r="V319" s="191"/>
      <c r="W319" s="191"/>
      <c r="X319" s="191"/>
      <c r="AN319" s="192"/>
      <c r="AO319" s="192"/>
      <c r="AP319" s="192"/>
      <c r="AQ319" s="192"/>
      <c r="AR319" s="192"/>
      <c r="AS319" s="192"/>
      <c r="AT319" s="192"/>
    </row>
    <row r="320" spans="2:46" s="190" customFormat="1" ht="24.9" customHeight="1" x14ac:dyDescent="0.25">
      <c r="B320" s="201" t="str">
        <f>IF($C$1="ENG","Cover:","Покриття:")</f>
        <v>Покриття:</v>
      </c>
      <c r="C320" s="202" t="str">
        <f>IF($C$1="ENG","Verto-CELL","Verto-CELL")</f>
        <v>Verto-CELL</v>
      </c>
      <c r="D320" s="203">
        <f>IF(AC320="","",(1-$W$2)*(AC320/1.2))</f>
        <v>5450</v>
      </c>
      <c r="E320" s="204">
        <f>IF($W$5=0.2,D320*1.2,D320)/$W$4</f>
        <v>6540</v>
      </c>
      <c r="F320" s="203">
        <f>IF(AD320="","",(1-$W$2)*(AD320/1.2))</f>
        <v>5450</v>
      </c>
      <c r="G320" s="204">
        <f>IF($W$5=0.2,F320*1.2,F320)/$W$4</f>
        <v>6540</v>
      </c>
      <c r="H320" s="203">
        <f>IF(AE320="","",(1-$W$2)*(AE320/1.2))</f>
        <v>5450</v>
      </c>
      <c r="I320" s="204">
        <f>IF($W$5=0.2,H320*1.2,H320)/$W$4</f>
        <v>6540</v>
      </c>
      <c r="J320" s="203"/>
      <c r="K320" s="205"/>
      <c r="L320" s="203"/>
      <c r="M320" s="205"/>
      <c r="N320" s="203"/>
      <c r="O320" s="205"/>
      <c r="P320" s="203"/>
      <c r="Q320" s="205"/>
      <c r="R320" s="203"/>
      <c r="S320" s="205"/>
      <c r="T320" s="203"/>
      <c r="U320" s="205"/>
      <c r="V320" s="203"/>
      <c r="W320" s="205"/>
      <c r="X320" s="191"/>
      <c r="AB320" s="195" t="str">
        <f>C320</f>
        <v>Verto-CELL</v>
      </c>
      <c r="AC320" s="219">
        <v>6540</v>
      </c>
      <c r="AD320" s="219">
        <v>6540</v>
      </c>
      <c r="AE320" s="219">
        <v>6540</v>
      </c>
      <c r="AF320" s="219"/>
      <c r="AG320" s="219"/>
      <c r="AH320" s="219"/>
      <c r="AN320" s="192"/>
      <c r="AO320" s="192"/>
      <c r="AP320" s="192"/>
      <c r="AQ320" s="192"/>
      <c r="AR320" s="192"/>
      <c r="AS320" s="192"/>
      <c r="AT320" s="192"/>
    </row>
    <row r="321" spans="2:46" s="190" customFormat="1" ht="24.9" customHeight="1" x14ac:dyDescent="0.25">
      <c r="B321" s="254"/>
      <c r="C321" s="255" t="str">
        <f>IF($C$1="ENG","UNI-MAT","UNI-MAT")</f>
        <v>UNI-MAT</v>
      </c>
      <c r="D321" s="256">
        <f>IF(AC321="","",(1-$W$2)*(AC321/1.2))</f>
        <v>6216.666666666667</v>
      </c>
      <c r="E321" s="257">
        <f>IF($W$5=0.2,D321*1.2,D321)/$W$4</f>
        <v>7460</v>
      </c>
      <c r="F321" s="256">
        <f>IF(AD321="","",(1-$W$2)*(AD321/1.2))</f>
        <v>6216.666666666667</v>
      </c>
      <c r="G321" s="257">
        <f>IF($W$5=0.2,F321*1.2,F321)/$W$4</f>
        <v>7460</v>
      </c>
      <c r="H321" s="256">
        <f>IF(AE321="","",(1-$W$2)*(AE321/1.2))</f>
        <v>6216.666666666667</v>
      </c>
      <c r="I321" s="257">
        <f>IF($W$5=0.2,H321*1.2,H321)/$W$4</f>
        <v>7460</v>
      </c>
      <c r="J321" s="256"/>
      <c r="K321" s="258"/>
      <c r="L321" s="256"/>
      <c r="M321" s="258"/>
      <c r="N321" s="256"/>
      <c r="O321" s="258"/>
      <c r="P321" s="256"/>
      <c r="Q321" s="258"/>
      <c r="R321" s="256"/>
      <c r="S321" s="258"/>
      <c r="T321" s="256"/>
      <c r="U321" s="258"/>
      <c r="V321" s="256"/>
      <c r="W321" s="258"/>
      <c r="X321" s="191"/>
      <c r="AB321" s="195" t="str">
        <f>C321</f>
        <v>UNI-MAT</v>
      </c>
      <c r="AC321" s="219">
        <v>7460</v>
      </c>
      <c r="AD321" s="219">
        <v>7460</v>
      </c>
      <c r="AE321" s="219">
        <v>7460</v>
      </c>
      <c r="AF321" s="219"/>
      <c r="AG321" s="219"/>
      <c r="AH321" s="219"/>
      <c r="AN321" s="192"/>
      <c r="AO321" s="192"/>
      <c r="AP321" s="192"/>
      <c r="AQ321" s="192"/>
      <c r="AR321" s="192"/>
      <c r="AS321" s="192"/>
      <c r="AT321" s="192"/>
    </row>
    <row r="322" spans="2:46" s="190" customFormat="1" ht="24.9" customHeight="1" x14ac:dyDescent="0.25">
      <c r="B322" s="254"/>
      <c r="C322" s="255" t="str">
        <f>IF($C$1="ENG","RESIST","RESIST")</f>
        <v>RESIST</v>
      </c>
      <c r="D322" s="256">
        <f>IF(AC322="","",(1-$W$2)*(AC322/1.2))</f>
        <v>6475</v>
      </c>
      <c r="E322" s="257">
        <f>IF($W$5=0.2,D322*1.2,D322)/$W$4</f>
        <v>7770</v>
      </c>
      <c r="F322" s="256">
        <f>IF(AD322="","",(1-$W$2)*(AD322/1.2))</f>
        <v>6475</v>
      </c>
      <c r="G322" s="257">
        <f>IF($W$5=0.2,F322*1.2,F322)/$W$4</f>
        <v>7770</v>
      </c>
      <c r="H322" s="256">
        <f>IF(AE322="","",(1-$W$2)*(AE322/1.2))</f>
        <v>6475</v>
      </c>
      <c r="I322" s="257">
        <f>IF($W$5=0.2,H322*1.2,H322)/$W$4</f>
        <v>7770</v>
      </c>
      <c r="J322" s="256"/>
      <c r="K322" s="258"/>
      <c r="L322" s="256"/>
      <c r="M322" s="258"/>
      <c r="N322" s="256"/>
      <c r="O322" s="258"/>
      <c r="P322" s="256"/>
      <c r="Q322" s="258"/>
      <c r="R322" s="256"/>
      <c r="S322" s="258"/>
      <c r="T322" s="256"/>
      <c r="U322" s="258"/>
      <c r="V322" s="256"/>
      <c r="W322" s="258"/>
      <c r="X322" s="191"/>
      <c r="AB322" s="195" t="str">
        <f>C322</f>
        <v>RESIST</v>
      </c>
      <c r="AC322" s="219">
        <v>7770</v>
      </c>
      <c r="AD322" s="219">
        <v>7770</v>
      </c>
      <c r="AE322" s="219">
        <v>7770</v>
      </c>
      <c r="AF322" s="219"/>
      <c r="AG322" s="219"/>
      <c r="AH322" s="219"/>
      <c r="AN322" s="192"/>
      <c r="AO322" s="192"/>
      <c r="AP322" s="192"/>
      <c r="AQ322" s="192"/>
      <c r="AR322" s="192"/>
      <c r="AS322" s="192"/>
      <c r="AT322" s="192"/>
    </row>
    <row r="323" spans="2:46" s="190" customFormat="1" ht="24.9" customHeight="1" x14ac:dyDescent="0.25">
      <c r="B323" s="254"/>
      <c r="C323" s="255" t="str">
        <f>IF($C$1="ENG","Verto LINE-3D","Verto LINE-3D")</f>
        <v>Verto LINE-3D</v>
      </c>
      <c r="D323" s="256">
        <f>IF(AC323="","",(1-$W$2)*(AC323/1.2))</f>
        <v>7041.666666666667</v>
      </c>
      <c r="E323" s="257">
        <f>IF($W$5=0.2,D323*1.2,D323)/$W$4</f>
        <v>8450</v>
      </c>
      <c r="F323" s="256">
        <f>IF(AD323="","",(1-$W$2)*(AD323/1.2))</f>
        <v>7041.666666666667</v>
      </c>
      <c r="G323" s="257">
        <f>IF($W$5=0.2,F323*1.2,F323)/$W$4</f>
        <v>8450</v>
      </c>
      <c r="H323" s="256">
        <f>IF(AE323="","",(1-$W$2)*(AE323/1.2))</f>
        <v>7041.666666666667</v>
      </c>
      <c r="I323" s="257">
        <f>IF($W$5=0.2,H323*1.2,H323)/$W$4</f>
        <v>8450</v>
      </c>
      <c r="J323" s="256"/>
      <c r="K323" s="258"/>
      <c r="L323" s="256"/>
      <c r="M323" s="258"/>
      <c r="N323" s="256"/>
      <c r="O323" s="258"/>
      <c r="P323" s="256"/>
      <c r="Q323" s="258"/>
      <c r="R323" s="256"/>
      <c r="S323" s="258"/>
      <c r="T323" s="256"/>
      <c r="U323" s="258"/>
      <c r="V323" s="256"/>
      <c r="W323" s="258"/>
      <c r="X323" s="191"/>
      <c r="AB323" s="195" t="str">
        <f>C323</f>
        <v>Verto LINE-3D</v>
      </c>
      <c r="AC323" s="219">
        <v>8450</v>
      </c>
      <c r="AD323" s="219">
        <v>8450</v>
      </c>
      <c r="AE323" s="219">
        <v>8450</v>
      </c>
      <c r="AF323" s="219"/>
      <c r="AG323" s="219"/>
      <c r="AH323" s="219"/>
      <c r="AN323" s="192"/>
      <c r="AO323" s="192"/>
      <c r="AP323" s="192"/>
      <c r="AQ323" s="192"/>
      <c r="AR323" s="192"/>
      <c r="AS323" s="192"/>
      <c r="AT323" s="192"/>
    </row>
    <row r="324" spans="2:46" s="190" customFormat="1" ht="24.9" customHeight="1" x14ac:dyDescent="0.25">
      <c r="B324" s="206"/>
      <c r="C324" s="207" t="str">
        <f>IF($C$1="ENG","Premium","Premium")</f>
        <v>Premium</v>
      </c>
      <c r="D324" s="208">
        <f>IF(AC324="","",(1-$W$2)*(AC324/1.2))</f>
        <v>7408.3333333333339</v>
      </c>
      <c r="E324" s="209">
        <f>IF($W$5=0.2,D324*1.2,D324)/$W$4</f>
        <v>8890</v>
      </c>
      <c r="F324" s="208">
        <f>IF(AD324="","",(1-$W$2)*(AD324/1.2))</f>
        <v>7408.3333333333339</v>
      </c>
      <c r="G324" s="209">
        <f>IF($W$5=0.2,F324*1.2,F324)/$W$4</f>
        <v>8890</v>
      </c>
      <c r="H324" s="208">
        <f>IF(AE324="","",(1-$W$2)*(AE324/1.2))</f>
        <v>7408.3333333333339</v>
      </c>
      <c r="I324" s="209">
        <f>IF($W$5=0.2,H324*1.2,H324)/$W$4</f>
        <v>8890</v>
      </c>
      <c r="J324" s="208"/>
      <c r="K324" s="210"/>
      <c r="L324" s="208"/>
      <c r="M324" s="210"/>
      <c r="N324" s="208"/>
      <c r="O324" s="210"/>
      <c r="P324" s="208"/>
      <c r="Q324" s="210"/>
      <c r="R324" s="208"/>
      <c r="S324" s="210"/>
      <c r="T324" s="208"/>
      <c r="U324" s="210"/>
      <c r="V324" s="208"/>
      <c r="W324" s="210"/>
      <c r="X324" s="191"/>
      <c r="AB324" s="195" t="str">
        <f>C324</f>
        <v>Premium</v>
      </c>
      <c r="AC324" s="219">
        <v>8890</v>
      </c>
      <c r="AD324" s="219">
        <v>8890</v>
      </c>
      <c r="AE324" s="219">
        <v>8890</v>
      </c>
      <c r="AF324" s="219"/>
      <c r="AG324" s="219"/>
      <c r="AH324" s="219"/>
      <c r="AN324" s="192"/>
      <c r="AO324" s="192"/>
      <c r="AP324" s="192"/>
      <c r="AQ324" s="192"/>
      <c r="AR324" s="192"/>
      <c r="AS324" s="192"/>
      <c r="AT324" s="192"/>
    </row>
    <row r="325" spans="2:46" x14ac:dyDescent="0.25">
      <c r="B325" s="187"/>
      <c r="C325" s="1"/>
      <c r="D325" s="186"/>
      <c r="E325" s="186"/>
      <c r="F325" s="186"/>
      <c r="G325" s="186"/>
      <c r="H325" s="186"/>
      <c r="I325" s="186"/>
      <c r="J325" s="186"/>
      <c r="K325" s="186"/>
      <c r="L325" s="186"/>
      <c r="M325" s="200"/>
      <c r="N325" s="186"/>
      <c r="O325" s="186"/>
      <c r="P325" s="186"/>
      <c r="Q325" s="186"/>
      <c r="R325" s="186"/>
      <c r="S325" s="186"/>
      <c r="T325" s="186"/>
      <c r="U325" s="186"/>
      <c r="V325" s="186"/>
      <c r="W325" s="186"/>
      <c r="X325" s="186"/>
    </row>
    <row r="326" spans="2:46" x14ac:dyDescent="0.25">
      <c r="B326" s="211" t="str">
        <f>IF($C$1="ENG","For additonal charge:","Послуги за додаткову плату:")</f>
        <v>Послуги за додаткову плату:</v>
      </c>
      <c r="C326" s="212"/>
      <c r="D326" s="213"/>
      <c r="E326" s="214" t="str">
        <f>CONCATENATE(B319," ",C319)</f>
        <v>ЦІНА з ПДВ</v>
      </c>
      <c r="F326" s="215"/>
      <c r="G326" s="215"/>
      <c r="H326" s="215"/>
      <c r="I326" s="215"/>
      <c r="J326" s="215"/>
      <c r="K326" s="215"/>
      <c r="L326" s="215"/>
      <c r="M326" s="215"/>
      <c r="N326" s="215"/>
      <c r="O326" s="215"/>
      <c r="P326" s="215"/>
      <c r="Q326" s="215"/>
      <c r="R326" s="215"/>
      <c r="S326" s="215"/>
      <c r="T326" s="215"/>
      <c r="U326" s="215"/>
      <c r="V326" s="215"/>
      <c r="W326" s="215"/>
      <c r="X326" s="186"/>
    </row>
    <row r="327" spans="2:46" x14ac:dyDescent="0.25">
      <c r="B327" s="187"/>
      <c r="C327" s="1"/>
      <c r="D327" s="186"/>
      <c r="E327" s="186"/>
      <c r="F327" s="186"/>
      <c r="G327" s="186"/>
      <c r="H327" s="186"/>
      <c r="I327" s="186"/>
      <c r="J327" s="186"/>
      <c r="K327" s="186"/>
      <c r="L327" s="186"/>
      <c r="M327" s="186"/>
      <c r="N327" s="186"/>
      <c r="O327" s="186"/>
      <c r="P327" s="186"/>
      <c r="Q327" s="186"/>
      <c r="R327" s="186"/>
      <c r="S327" s="186"/>
      <c r="T327" s="186"/>
      <c r="U327" s="186"/>
      <c r="V327" s="186"/>
      <c r="W327" s="186"/>
      <c r="X327" s="186"/>
    </row>
    <row r="328" spans="2:46" ht="15" customHeight="1" x14ac:dyDescent="0.25">
      <c r="B328" s="224"/>
      <c r="C328" s="223" t="str">
        <f>IF($C$1="ENG","door leaf with width 100","полотно розміром 100")</f>
        <v>полотно розміром 100</v>
      </c>
      <c r="D328" s="236">
        <f>IF(AC328="","",(1-$W$2)*(AC328/1.2))</f>
        <v>691.66666666666674</v>
      </c>
      <c r="E328" s="227">
        <f>IF($W$5=0.2,D328*1.2,D328)/$W$4</f>
        <v>830.00000000000011</v>
      </c>
      <c r="F328" s="191"/>
      <c r="G328" s="229"/>
      <c r="H328" s="224"/>
      <c r="I328" s="223" t="str">
        <f>IF($C$1="ENG","door lock Soft","замок Soft")</f>
        <v>замок Soft</v>
      </c>
      <c r="J328" s="238">
        <f>IF(AF328="","",(1-$W$2)*(AF328/1.2))</f>
        <v>525</v>
      </c>
      <c r="K328" s="227">
        <f>IF($W$5=0.2,J328*1.2,J328)/$W$4</f>
        <v>630</v>
      </c>
      <c r="L328" s="191"/>
      <c r="M328" s="229"/>
      <c r="N328" s="224"/>
      <c r="O328" s="223" t="str">
        <f>IF($C$1="ENG","cylinder incert","циліндр несиметричний")</f>
        <v>циліндр несиметричний</v>
      </c>
      <c r="P328" s="236">
        <f>IF(AI328="","",(1-$W$2)*(AI328/1.2))</f>
        <v>375</v>
      </c>
      <c r="Q328" s="227">
        <f>IF($W$5=0.2,P328*1.2,P328)/$W$4</f>
        <v>450</v>
      </c>
      <c r="R328" s="186"/>
      <c r="S328" s="186"/>
      <c r="T328" s="186"/>
      <c r="U328" s="186"/>
      <c r="V328" s="186"/>
      <c r="W328" s="186"/>
      <c r="X328" s="186"/>
      <c r="AC328" s="218">
        <v>830</v>
      </c>
      <c r="AF328" s="218">
        <v>630</v>
      </c>
      <c r="AI328" s="218">
        <v>450</v>
      </c>
    </row>
    <row r="329" spans="2:46" ht="15" customHeight="1" x14ac:dyDescent="0.25">
      <c r="B329" s="225"/>
      <c r="C329" s="222" t="str">
        <f>IF($C$1="ENG","Ventilation cut","вентиляційний підріз")</f>
        <v>вентиляційний підріз</v>
      </c>
      <c r="D329" s="237">
        <f>IF(AC329="","",(1-$W$2)*(AC329/1.2))</f>
        <v>162.5</v>
      </c>
      <c r="E329" s="228">
        <f>IF($W$5=0.2,D329*1.2,D329)/$W$4</f>
        <v>195</v>
      </c>
      <c r="F329" s="191"/>
      <c r="G329" s="230"/>
      <c r="H329" s="225"/>
      <c r="I329" s="222" t="str">
        <f>IF($C$1="ENG","door lock Soft black","замок Soft чорн.")</f>
        <v>замок Soft чорн.</v>
      </c>
      <c r="J329" s="239">
        <f>IF(AF329="","",(1-$W$2)*(AF329/1.2))</f>
        <v>650</v>
      </c>
      <c r="K329" s="228">
        <f>IF($W$5=0.2,J329*1.2,J329)/$W$4</f>
        <v>780</v>
      </c>
      <c r="L329" s="191"/>
      <c r="M329" s="230"/>
      <c r="N329" s="225"/>
      <c r="O329" s="222" t="str">
        <f>IF($C$1="ENG","door hindge Prestige (1 unit)","завіса Prestige (1 шт)")</f>
        <v>завіса Prestige (1 шт)</v>
      </c>
      <c r="P329" s="240">
        <f>IF(AI329="","",(1-$W$2)*(AI329/1.2))</f>
        <v>250</v>
      </c>
      <c r="Q329" s="228">
        <f>IF($W$5=0.2,P329*1.2,P329)/$W$4</f>
        <v>300</v>
      </c>
      <c r="R329" s="186"/>
      <c r="S329" s="186"/>
      <c r="T329" s="186"/>
      <c r="U329" s="186"/>
      <c r="V329" s="186"/>
      <c r="W329" s="186"/>
      <c r="X329" s="186"/>
      <c r="AC329" s="218">
        <v>195</v>
      </c>
      <c r="AF329" s="218">
        <v>780</v>
      </c>
      <c r="AI329" s="218">
        <v>300</v>
      </c>
    </row>
    <row r="330" spans="2:46" ht="15" customHeight="1" x14ac:dyDescent="0.25">
      <c r="C330" s="222" t="str">
        <f>IF($C$1="ENG","glazing Graphite / Bronze","скло Графіт / Бронза")</f>
        <v>скло Графіт / Бронза</v>
      </c>
      <c r="D330" s="237">
        <f>IF(AC330="","",(1-$W$2)*(AC330/1.2))</f>
        <v>525</v>
      </c>
      <c r="E330" s="228">
        <f>IF($W$5=0.2,D330*1.2,D330)/$W$4</f>
        <v>630</v>
      </c>
      <c r="F330" s="191"/>
      <c r="G330" s="230"/>
      <c r="H330" s="225"/>
      <c r="I330" s="222" t="str">
        <f>IF($C$1="ENG","door lock Magnet","замок Magnet")</f>
        <v>замок Magnet</v>
      </c>
      <c r="J330" s="239">
        <f>IF(AF330="","",(1-$W$2)*(AF330/1.2))</f>
        <v>766.66666666666674</v>
      </c>
      <c r="K330" s="228">
        <f>IF($W$5=0.2,J330*1.2,J330)/$W$4</f>
        <v>920.00000000000011</v>
      </c>
      <c r="L330" s="191"/>
      <c r="M330" s="230"/>
      <c r="N330" s="225"/>
      <c r="O330" s="222" t="str">
        <f>IF($C$1="ENG","door hinge caps (1 set)","накладка на завіси (1 к-т)")</f>
        <v>накладка на завіси (1 к-т)</v>
      </c>
      <c r="P330" s="240">
        <f>IF(AI330="","",(1-$W$2)*(AI330/1.2))</f>
        <v>75</v>
      </c>
      <c r="Q330" s="228">
        <f>IF($W$5=0.2,P330*1.2,P330)/$W$4</f>
        <v>90</v>
      </c>
      <c r="R330" s="186"/>
      <c r="S330" s="186"/>
      <c r="T330" s="186"/>
      <c r="U330" s="186"/>
      <c r="V330" s="186"/>
      <c r="W330" s="186"/>
      <c r="X330" s="186"/>
      <c r="AC330" s="218">
        <v>630</v>
      </c>
      <c r="AF330" s="218">
        <v>920</v>
      </c>
      <c r="AI330" s="218">
        <v>90</v>
      </c>
    </row>
    <row r="331" spans="2:46" s="8" customFormat="1" ht="15" customHeight="1" x14ac:dyDescent="0.25">
      <c r="F331" s="184"/>
      <c r="G331" s="231"/>
      <c r="H331" s="226"/>
      <c r="I331" s="222" t="str">
        <f>IF($C$1="ENG","door lock Magnet black","замок Magnet чорн.")</f>
        <v>замок Magnet чорн.</v>
      </c>
      <c r="J331" s="239">
        <f>IF(AF331="","",(1-$W$2)*(AF331/1.2))</f>
        <v>958.33333333333337</v>
      </c>
      <c r="K331" s="228">
        <f>IF($W$5=0.2,J331*1.2,J331)/$W$4</f>
        <v>1150</v>
      </c>
      <c r="L331" s="220"/>
      <c r="M331" s="233"/>
      <c r="N331" s="226"/>
      <c r="O331" s="222" t="str">
        <f>IF($C$1="ENG","door handle","дверна ручка")</f>
        <v>дверна ручка</v>
      </c>
      <c r="P331" s="237">
        <f>IF(AI331="","",(1-$W$2)*(AI331/1.2))</f>
        <v>0</v>
      </c>
      <c r="Q331" s="235" t="str">
        <f>IF($C$1="ENG","see Handles Price","див. Таблицю Ручки")</f>
        <v>див. Таблицю Ручки</v>
      </c>
      <c r="AF331" s="218">
        <v>1150</v>
      </c>
      <c r="AI331" s="218">
        <v>0</v>
      </c>
      <c r="AN331" s="123"/>
      <c r="AO331" s="123"/>
      <c r="AP331" s="123"/>
      <c r="AQ331" s="123"/>
      <c r="AR331" s="123"/>
      <c r="AS331" s="123"/>
      <c r="AT331" s="123"/>
    </row>
    <row r="332" spans="2:46" ht="15" customHeight="1" x14ac:dyDescent="0.25">
      <c r="C332" s="1"/>
      <c r="F332" s="221"/>
      <c r="G332" s="232"/>
      <c r="H332" s="225"/>
      <c r="I332" s="222" t="str">
        <f>IF($C$1="ENG","door handle-lock (for sliding doors)","ручка-замок (для дверей купе)")</f>
        <v>ручка-замок (для дверей купе)</v>
      </c>
      <c r="J332" s="237">
        <f>IF(AF332="","",(1-$W$2)*(AF332/1.2))</f>
        <v>533.33333333333337</v>
      </c>
      <c r="K332" s="228">
        <f>IF($W$5=0.2,J332*1.2,J332)/$W$4</f>
        <v>640</v>
      </c>
      <c r="L332" s="190"/>
      <c r="AF332" s="218">
        <v>640</v>
      </c>
      <c r="AI332" s="8"/>
      <c r="AN332" s="1"/>
    </row>
    <row r="333" spans="2:46" x14ac:dyDescent="0.25">
      <c r="C333" s="1"/>
      <c r="F333" s="21"/>
      <c r="G333" s="21"/>
      <c r="H333" s="10"/>
      <c r="I333" s="33"/>
      <c r="J333" s="33"/>
      <c r="K333" s="33"/>
      <c r="S333" s="132"/>
      <c r="T333" s="183"/>
      <c r="U333" s="183"/>
      <c r="V333" s="183"/>
      <c r="W333" s="183"/>
    </row>
    <row r="334" spans="2:46" x14ac:dyDescent="0.25">
      <c r="C334" s="110"/>
      <c r="D334" s="21"/>
      <c r="E334" s="21"/>
      <c r="F334" s="21"/>
      <c r="G334" s="21"/>
      <c r="H334" s="5"/>
    </row>
    <row r="335" spans="2:46" x14ac:dyDescent="0.25">
      <c r="C335" s="110"/>
      <c r="D335" s="21"/>
      <c r="E335" s="21"/>
      <c r="F335" s="21"/>
      <c r="G335" s="21"/>
      <c r="H335" s="5"/>
    </row>
    <row r="336" spans="2:46" x14ac:dyDescent="0.25">
      <c r="C336" s="110"/>
      <c r="D336" s="21"/>
      <c r="E336" s="21"/>
      <c r="F336" s="21"/>
      <c r="G336" s="21"/>
      <c r="H336" s="5"/>
    </row>
    <row r="337" spans="2:46" s="8" customFormat="1" ht="24.9" customHeight="1" x14ac:dyDescent="0.25">
      <c r="B337" s="246" t="str">
        <f>TITLE!C19</f>
        <v>Полотна збірні: LADA B</v>
      </c>
      <c r="C337" s="244"/>
      <c r="D337" s="245"/>
      <c r="E337" s="245"/>
      <c r="F337" s="216"/>
      <c r="G337" s="216"/>
      <c r="H337" s="216"/>
      <c r="I337" s="217"/>
      <c r="J337" s="217"/>
      <c r="K337" s="217"/>
      <c r="L337" s="217"/>
      <c r="M337" s="217"/>
      <c r="N337" s="217"/>
      <c r="O337" s="217"/>
      <c r="P337" s="217"/>
      <c r="Q337" s="217"/>
      <c r="R337" s="217"/>
      <c r="S337" s="217"/>
      <c r="T337" s="217"/>
      <c r="U337" s="217"/>
      <c r="V337" s="217"/>
      <c r="W337" s="217"/>
      <c r="X337" s="185"/>
      <c r="AN337" s="123"/>
      <c r="AO337" s="123"/>
      <c r="AP337" s="123"/>
      <c r="AQ337" s="123"/>
      <c r="AR337" s="123"/>
      <c r="AS337" s="123"/>
      <c r="AT337" s="123"/>
    </row>
    <row r="338" spans="2:46" s="8" customFormat="1" x14ac:dyDescent="0.25">
      <c r="B338" s="83"/>
      <c r="C338" s="162"/>
      <c r="D338" s="247"/>
      <c r="E338" s="247"/>
      <c r="F338" s="247"/>
      <c r="G338" s="247"/>
      <c r="H338" s="10"/>
      <c r="T338" s="90"/>
      <c r="U338" s="90"/>
      <c r="V338" s="90"/>
      <c r="W338" s="90"/>
      <c r="AN338" s="123"/>
      <c r="AO338" s="123"/>
      <c r="AP338" s="123"/>
      <c r="AQ338" s="123"/>
      <c r="AR338" s="123"/>
      <c r="AS338" s="123"/>
      <c r="AT338" s="123"/>
    </row>
    <row r="339" spans="2:46" x14ac:dyDescent="0.25">
      <c r="B339" s="186"/>
      <c r="C339" s="193" t="str">
        <f>IF($C$1="ENG","model:","модель:")</f>
        <v>модель:</v>
      </c>
      <c r="D339" s="186"/>
      <c r="E339" s="196" t="s">
        <v>31</v>
      </c>
      <c r="F339" s="188"/>
      <c r="G339" s="196" t="s">
        <v>25</v>
      </c>
      <c r="H339" s="188"/>
      <c r="I339" s="196" t="s">
        <v>32</v>
      </c>
      <c r="J339" s="188"/>
      <c r="K339" s="248"/>
      <c r="L339" s="188"/>
      <c r="M339" s="248"/>
      <c r="N339" s="188"/>
      <c r="O339" s="248"/>
      <c r="P339" s="186"/>
      <c r="Q339" s="186"/>
      <c r="R339" s="186"/>
      <c r="S339" s="186"/>
      <c r="T339" s="186"/>
      <c r="U339" s="186"/>
      <c r="V339" s="186"/>
      <c r="W339" s="186"/>
      <c r="X339" s="186"/>
    </row>
    <row r="340" spans="2:46" x14ac:dyDescent="0.25">
      <c r="B340" s="186"/>
      <c r="C340" s="187"/>
      <c r="D340" s="186"/>
      <c r="E340" s="197"/>
      <c r="F340" s="186"/>
      <c r="G340" s="197"/>
      <c r="H340" s="186"/>
      <c r="I340" s="197"/>
      <c r="J340" s="186"/>
      <c r="K340" s="200"/>
      <c r="L340" s="186"/>
      <c r="M340" s="200"/>
      <c r="N340" s="186"/>
      <c r="O340" s="200"/>
      <c r="P340" s="186"/>
      <c r="Q340" s="186"/>
      <c r="R340" s="186"/>
      <c r="S340" s="186"/>
      <c r="T340" s="186"/>
      <c r="U340" s="186"/>
      <c r="V340" s="186"/>
      <c r="W340" s="186"/>
      <c r="X340" s="186"/>
    </row>
    <row r="341" spans="2:46" x14ac:dyDescent="0.25">
      <c r="B341" s="186"/>
      <c r="C341" s="187"/>
      <c r="D341" s="186"/>
      <c r="E341" s="197"/>
      <c r="F341" s="186"/>
      <c r="G341" s="197"/>
      <c r="H341" s="186"/>
      <c r="I341" s="197"/>
      <c r="J341" s="186"/>
      <c r="K341" s="200"/>
      <c r="L341" s="186"/>
      <c r="M341" s="200"/>
      <c r="N341" s="186"/>
      <c r="O341" s="200"/>
      <c r="P341" s="186"/>
      <c r="Q341" s="186"/>
      <c r="R341" s="186"/>
      <c r="S341" s="186"/>
      <c r="T341" s="186"/>
      <c r="U341" s="186"/>
      <c r="V341" s="186"/>
      <c r="W341" s="186"/>
      <c r="X341" s="186"/>
    </row>
    <row r="342" spans="2:46" x14ac:dyDescent="0.25">
      <c r="B342" s="186"/>
      <c r="C342" s="187"/>
      <c r="D342" s="186"/>
      <c r="E342" s="197"/>
      <c r="F342" s="186"/>
      <c r="G342" s="197"/>
      <c r="H342" s="186"/>
      <c r="I342" s="197"/>
      <c r="J342" s="186"/>
      <c r="K342" s="200"/>
      <c r="L342" s="186"/>
      <c r="M342" s="200"/>
      <c r="N342" s="186"/>
      <c r="O342" s="200"/>
      <c r="P342" s="186"/>
      <c r="Q342" s="186"/>
      <c r="R342" s="186"/>
      <c r="S342" s="186"/>
      <c r="T342" s="186"/>
      <c r="U342" s="186"/>
      <c r="V342" s="186"/>
      <c r="W342" s="186"/>
      <c r="X342" s="186"/>
    </row>
    <row r="343" spans="2:46" x14ac:dyDescent="0.25">
      <c r="B343" s="186"/>
      <c r="C343" s="187"/>
      <c r="D343" s="186"/>
      <c r="E343" s="197"/>
      <c r="F343" s="186"/>
      <c r="G343" s="197"/>
      <c r="H343" s="186"/>
      <c r="I343" s="197"/>
      <c r="J343" s="186"/>
      <c r="K343" s="200"/>
      <c r="L343" s="186"/>
      <c r="M343" s="200"/>
      <c r="N343" s="186"/>
      <c r="O343" s="200"/>
      <c r="P343" s="186"/>
      <c r="Q343" s="186"/>
      <c r="R343" s="186"/>
      <c r="S343" s="186"/>
      <c r="T343" s="186"/>
      <c r="U343" s="186"/>
      <c r="V343" s="186"/>
      <c r="W343" s="186"/>
      <c r="X343" s="186"/>
    </row>
    <row r="344" spans="2:46" x14ac:dyDescent="0.25">
      <c r="B344" s="186"/>
      <c r="C344" s="187"/>
      <c r="D344" s="186"/>
      <c r="E344" s="197"/>
      <c r="F344" s="186"/>
      <c r="G344" s="197"/>
      <c r="H344" s="186"/>
      <c r="I344" s="197"/>
      <c r="J344" s="186"/>
      <c r="K344" s="200"/>
      <c r="L344" s="186"/>
      <c r="M344" s="200"/>
      <c r="N344" s="186"/>
      <c r="O344" s="200"/>
      <c r="P344" s="186"/>
      <c r="Q344" s="186"/>
      <c r="R344" s="186"/>
      <c r="S344" s="186"/>
      <c r="T344" s="186"/>
      <c r="U344" s="186"/>
      <c r="V344" s="186"/>
      <c r="W344" s="186"/>
      <c r="X344" s="186"/>
    </row>
    <row r="345" spans="2:46" x14ac:dyDescent="0.25">
      <c r="B345" s="186"/>
      <c r="C345" s="187"/>
      <c r="D345" s="186"/>
      <c r="E345" s="197"/>
      <c r="F345" s="186"/>
      <c r="G345" s="197"/>
      <c r="H345" s="186"/>
      <c r="I345" s="197"/>
      <c r="J345" s="186"/>
      <c r="K345" s="200"/>
      <c r="L345" s="186"/>
      <c r="M345" s="200"/>
      <c r="N345" s="186"/>
      <c r="O345" s="200"/>
      <c r="P345" s="186"/>
      <c r="Q345" s="186"/>
      <c r="R345" s="186"/>
      <c r="S345" s="186"/>
      <c r="T345" s="186"/>
      <c r="U345" s="186"/>
      <c r="V345" s="186"/>
      <c r="W345" s="186"/>
      <c r="X345" s="186"/>
    </row>
    <row r="346" spans="2:46" x14ac:dyDescent="0.25">
      <c r="B346" s="186"/>
      <c r="C346" s="187"/>
      <c r="D346" s="186"/>
      <c r="E346" s="197"/>
      <c r="F346" s="186"/>
      <c r="G346" s="197"/>
      <c r="H346" s="186"/>
      <c r="I346" s="197"/>
      <c r="J346" s="186"/>
      <c r="K346" s="200"/>
      <c r="L346" s="186"/>
      <c r="M346" s="200"/>
      <c r="N346" s="186"/>
      <c r="O346" s="200"/>
      <c r="P346" s="186"/>
      <c r="Q346" s="186"/>
      <c r="R346" s="186"/>
      <c r="S346" s="186"/>
      <c r="T346" s="186"/>
      <c r="U346" s="186"/>
      <c r="V346" s="186"/>
      <c r="W346" s="186"/>
      <c r="X346" s="186"/>
    </row>
    <row r="347" spans="2:46" x14ac:dyDescent="0.25">
      <c r="B347" s="186"/>
      <c r="C347" s="1"/>
      <c r="D347" s="186"/>
      <c r="E347" s="197"/>
      <c r="F347" s="186"/>
      <c r="G347" s="197"/>
      <c r="H347" s="186"/>
      <c r="I347" s="197"/>
      <c r="J347" s="186"/>
      <c r="K347" s="200"/>
      <c r="L347" s="186"/>
      <c r="M347" s="200"/>
      <c r="N347" s="186"/>
      <c r="O347" s="200"/>
      <c r="P347" s="186"/>
      <c r="Q347" s="186"/>
      <c r="R347" s="186"/>
      <c r="S347" s="186"/>
      <c r="T347" s="186"/>
      <c r="U347" s="186"/>
      <c r="V347" s="186"/>
      <c r="W347" s="186"/>
      <c r="X347" s="186"/>
    </row>
    <row r="348" spans="2:46" x14ac:dyDescent="0.25">
      <c r="B348" s="186"/>
      <c r="C348" s="187" t="str">
        <f>IF($C$1="ENG","filling:","заповнення:")</f>
        <v>заповнення:</v>
      </c>
      <c r="D348" s="186"/>
      <c r="E348" s="198" t="str">
        <f>IF($C$1="ENG","softwood","клеєний брус")</f>
        <v>клеєний брус</v>
      </c>
      <c r="F348" s="189"/>
      <c r="G348" s="198" t="str">
        <f>IF($C$1="ENG","softwood","клеєний брус")</f>
        <v>клеєний брус</v>
      </c>
      <c r="H348" s="189"/>
      <c r="I348" s="198" t="str">
        <f>IF($C$1="ENG","softwood","клеєний брус")</f>
        <v>клеєний брус</v>
      </c>
      <c r="J348" s="189"/>
      <c r="K348" s="249"/>
      <c r="L348" s="189"/>
      <c r="M348" s="249"/>
      <c r="N348" s="189"/>
      <c r="O348" s="249"/>
      <c r="P348" s="186"/>
      <c r="Q348" s="186"/>
      <c r="R348" s="186"/>
      <c r="S348" s="186"/>
      <c r="T348" s="186"/>
      <c r="U348" s="186"/>
      <c r="V348" s="186"/>
      <c r="W348" s="186"/>
      <c r="X348" s="186"/>
    </row>
    <row r="349" spans="2:46" x14ac:dyDescent="0.25">
      <c r="B349" s="186"/>
      <c r="C349" s="187" t="str">
        <f>IF($C$1="ENG","glazing:","скління:")</f>
        <v>скління:</v>
      </c>
      <c r="D349" s="186"/>
      <c r="E349" s="198" t="str">
        <f>IF($C$1="ENG","Satin","Сатин")</f>
        <v>Сатин</v>
      </c>
      <c r="F349" s="189"/>
      <c r="G349" s="198" t="str">
        <f>IF($C$1="ENG","Satin","Сатин")</f>
        <v>Сатин</v>
      </c>
      <c r="H349" s="189"/>
      <c r="I349" s="198" t="str">
        <f>IF($C$1="ENG","Satin","Сатин")</f>
        <v>Сатин</v>
      </c>
      <c r="J349" s="189"/>
      <c r="K349" s="249"/>
      <c r="L349" s="189"/>
      <c r="M349" s="249"/>
      <c r="N349" s="189"/>
      <c r="O349" s="249"/>
      <c r="P349" s="186"/>
      <c r="Q349" s="186"/>
      <c r="R349" s="186"/>
      <c r="S349" s="186"/>
      <c r="T349" s="186"/>
      <c r="U349" s="186"/>
      <c r="V349" s="186"/>
      <c r="W349" s="186"/>
      <c r="X349" s="186"/>
    </row>
    <row r="350" spans="2:46" x14ac:dyDescent="0.25">
      <c r="D350" s="199"/>
      <c r="E350" s="197"/>
      <c r="F350" s="200"/>
      <c r="G350" s="197"/>
      <c r="H350" s="200"/>
      <c r="I350" s="197"/>
      <c r="J350" s="200"/>
      <c r="K350" s="200"/>
      <c r="L350" s="200"/>
      <c r="M350" s="200"/>
      <c r="N350" s="200"/>
      <c r="O350" s="200"/>
      <c r="P350" s="200"/>
      <c r="Q350" s="200"/>
      <c r="R350" s="200"/>
      <c r="S350" s="200"/>
      <c r="T350" s="200"/>
      <c r="U350" s="200"/>
      <c r="V350" s="200"/>
      <c r="W350" s="200"/>
      <c r="X350" s="186"/>
    </row>
    <row r="351" spans="2:46" s="190" customFormat="1" ht="15" customHeight="1" x14ac:dyDescent="0.25">
      <c r="B351" s="241" t="str">
        <f>IF($C$1="ENG","PRICE","ЦІНА")</f>
        <v>ЦІНА</v>
      </c>
      <c r="C351" s="242" t="str">
        <f>IF($C$1="ENG",IF($W$5=0.2,"with VAT","no VAT"),IF($W$5=0.2,"з ПДВ","без ПДВ"))</f>
        <v>з ПДВ</v>
      </c>
      <c r="D351" s="191"/>
      <c r="E351" s="243"/>
      <c r="F351" s="191"/>
      <c r="G351" s="243"/>
      <c r="H351" s="191"/>
      <c r="I351" s="243"/>
      <c r="J351" s="191"/>
      <c r="K351" s="194"/>
      <c r="L351" s="191"/>
      <c r="M351" s="194"/>
      <c r="N351" s="191"/>
      <c r="O351" s="194"/>
      <c r="P351" s="191"/>
      <c r="Q351" s="191"/>
      <c r="R351" s="191"/>
      <c r="S351" s="191"/>
      <c r="T351" s="191"/>
      <c r="U351" s="191"/>
      <c r="V351" s="191"/>
      <c r="W351" s="191"/>
      <c r="X351" s="191"/>
      <c r="AN351" s="192"/>
      <c r="AO351" s="192"/>
      <c r="AP351" s="192"/>
      <c r="AQ351" s="192"/>
      <c r="AR351" s="192"/>
      <c r="AS351" s="192"/>
      <c r="AT351" s="192"/>
    </row>
    <row r="352" spans="2:46" s="190" customFormat="1" ht="24.9" customHeight="1" x14ac:dyDescent="0.25">
      <c r="B352" s="201" t="str">
        <f>IF($C$1="ENG","Cover:","Покриття:")</f>
        <v>Покриття:</v>
      </c>
      <c r="C352" s="202" t="str">
        <f>IF($C$1="ENG","Verto-CELL","Verto-CELL")</f>
        <v>Verto-CELL</v>
      </c>
      <c r="D352" s="203">
        <f>IF(AC352="","",(1-$W$2)*(AC352/1.2))</f>
        <v>5450</v>
      </c>
      <c r="E352" s="204">
        <f>IF($W$5=0.2,D352*1.2,D352)/$W$4</f>
        <v>6540</v>
      </c>
      <c r="F352" s="203">
        <f>IF(AD352="","",(1-$W$2)*(AD352/1.2))</f>
        <v>5450</v>
      </c>
      <c r="G352" s="204">
        <f>IF($W$5=0.2,F352*1.2,F352)/$W$4</f>
        <v>6540</v>
      </c>
      <c r="H352" s="203">
        <f>IF(AE352="","",(1-$W$2)*(AE352/1.2))</f>
        <v>5687.5</v>
      </c>
      <c r="I352" s="204">
        <f>IF($W$5=0.2,H352*1.2,H352)/$W$4</f>
        <v>6825</v>
      </c>
      <c r="J352" s="203"/>
      <c r="K352" s="205"/>
      <c r="L352" s="203"/>
      <c r="M352" s="205"/>
      <c r="N352" s="203"/>
      <c r="O352" s="205"/>
      <c r="P352" s="203"/>
      <c r="Q352" s="205"/>
      <c r="R352" s="203"/>
      <c r="S352" s="205"/>
      <c r="T352" s="203"/>
      <c r="U352" s="205"/>
      <c r="V352" s="203"/>
      <c r="W352" s="205"/>
      <c r="X352" s="191"/>
      <c r="AB352" s="195" t="str">
        <f>C352</f>
        <v>Verto-CELL</v>
      </c>
      <c r="AC352" s="219">
        <v>6540</v>
      </c>
      <c r="AD352" s="219">
        <v>6540</v>
      </c>
      <c r="AE352" s="219">
        <v>6825</v>
      </c>
      <c r="AF352" s="219"/>
      <c r="AG352" s="219"/>
      <c r="AH352" s="219"/>
      <c r="AN352" s="192"/>
      <c r="AO352" s="192"/>
      <c r="AP352" s="192"/>
      <c r="AQ352" s="192"/>
      <c r="AR352" s="192"/>
      <c r="AS352" s="192"/>
      <c r="AT352" s="192"/>
    </row>
    <row r="353" spans="2:46" s="190" customFormat="1" ht="24.9" customHeight="1" x14ac:dyDescent="0.25">
      <c r="B353" s="254"/>
      <c r="C353" s="255" t="str">
        <f>IF($C$1="ENG","UNI-MAT","UNI-MAT")</f>
        <v>UNI-MAT</v>
      </c>
      <c r="D353" s="256">
        <f>IF(AC353="","",(1-$W$2)*(AC353/1.2))</f>
        <v>6216.666666666667</v>
      </c>
      <c r="E353" s="257">
        <f>IF($W$5=0.2,D353*1.2,D353)/$W$4</f>
        <v>7460</v>
      </c>
      <c r="F353" s="256">
        <f>IF(AD353="","",(1-$W$2)*(AD353/1.2))</f>
        <v>6216.666666666667</v>
      </c>
      <c r="G353" s="257">
        <f>IF($W$5=0.2,F353*1.2,F353)/$W$4</f>
        <v>7460</v>
      </c>
      <c r="H353" s="256">
        <f>IF(AE353="","",(1-$W$2)*(AE353/1.2))</f>
        <v>6475</v>
      </c>
      <c r="I353" s="257">
        <f>IF($W$5=0.2,H353*1.2,H353)/$W$4</f>
        <v>7770</v>
      </c>
      <c r="J353" s="256"/>
      <c r="K353" s="258"/>
      <c r="L353" s="256"/>
      <c r="M353" s="258"/>
      <c r="N353" s="256"/>
      <c r="O353" s="258"/>
      <c r="P353" s="256"/>
      <c r="Q353" s="258"/>
      <c r="R353" s="256"/>
      <c r="S353" s="258"/>
      <c r="T353" s="256"/>
      <c r="U353" s="258"/>
      <c r="V353" s="256"/>
      <c r="W353" s="258"/>
      <c r="X353" s="191"/>
      <c r="AB353" s="195" t="str">
        <f>C353</f>
        <v>UNI-MAT</v>
      </c>
      <c r="AC353" s="219">
        <v>7460</v>
      </c>
      <c r="AD353" s="219">
        <v>7460</v>
      </c>
      <c r="AE353" s="219">
        <v>7770</v>
      </c>
      <c r="AF353" s="219"/>
      <c r="AG353" s="219"/>
      <c r="AH353" s="219"/>
      <c r="AN353" s="192"/>
      <c r="AO353" s="192"/>
      <c r="AP353" s="192"/>
      <c r="AQ353" s="192"/>
      <c r="AR353" s="192"/>
      <c r="AS353" s="192"/>
      <c r="AT353" s="192"/>
    </row>
    <row r="354" spans="2:46" s="190" customFormat="1" ht="24.9" customHeight="1" x14ac:dyDescent="0.25">
      <c r="B354" s="254"/>
      <c r="C354" s="255" t="str">
        <f>IF($C$1="ENG","RESIST","RESIST")</f>
        <v>RESIST</v>
      </c>
      <c r="D354" s="256">
        <f>IF(AC354="","",(1-$W$2)*(AC354/1.2))</f>
        <v>6475</v>
      </c>
      <c r="E354" s="257">
        <f>IF($W$5=0.2,D354*1.2,D354)/$W$4</f>
        <v>7770</v>
      </c>
      <c r="F354" s="256">
        <f>IF(AD354="","",(1-$W$2)*(AD354/1.2))</f>
        <v>6475</v>
      </c>
      <c r="G354" s="257">
        <f>IF($W$5=0.2,F354*1.2,F354)/$W$4</f>
        <v>7770</v>
      </c>
      <c r="H354" s="256">
        <f>IF(AE354="","",(1-$W$2)*(AE354/1.2))</f>
        <v>6766.666666666667</v>
      </c>
      <c r="I354" s="257">
        <f>IF($W$5=0.2,H354*1.2,H354)/$W$4</f>
        <v>8120</v>
      </c>
      <c r="J354" s="256"/>
      <c r="K354" s="258"/>
      <c r="L354" s="256"/>
      <c r="M354" s="258"/>
      <c r="N354" s="256"/>
      <c r="O354" s="258"/>
      <c r="P354" s="256"/>
      <c r="Q354" s="258"/>
      <c r="R354" s="256"/>
      <c r="S354" s="258"/>
      <c r="T354" s="256"/>
      <c r="U354" s="258"/>
      <c r="V354" s="256"/>
      <c r="W354" s="258"/>
      <c r="X354" s="191"/>
      <c r="AB354" s="195" t="str">
        <f>C354</f>
        <v>RESIST</v>
      </c>
      <c r="AC354" s="219">
        <v>7770</v>
      </c>
      <c r="AD354" s="219">
        <v>7770</v>
      </c>
      <c r="AE354" s="219">
        <v>8120</v>
      </c>
      <c r="AF354" s="219"/>
      <c r="AG354" s="219"/>
      <c r="AH354" s="219"/>
      <c r="AN354" s="192"/>
      <c r="AO354" s="192"/>
      <c r="AP354" s="192"/>
      <c r="AQ354" s="192"/>
      <c r="AR354" s="192"/>
      <c r="AS354" s="192"/>
      <c r="AT354" s="192"/>
    </row>
    <row r="355" spans="2:46" s="190" customFormat="1" ht="24.9" customHeight="1" x14ac:dyDescent="0.25">
      <c r="B355" s="254"/>
      <c r="C355" s="255" t="str">
        <f>IF($C$1="ENG","Verto LINE-3D","Verto LINE-3D")</f>
        <v>Verto LINE-3D</v>
      </c>
      <c r="D355" s="256">
        <f>IF(AC355="","",(1-$W$2)*(AC355/1.2))</f>
        <v>7041.666666666667</v>
      </c>
      <c r="E355" s="257">
        <f>IF($W$5=0.2,D355*1.2,D355)/$W$4</f>
        <v>8450</v>
      </c>
      <c r="F355" s="256">
        <f>IF(AD355="","",(1-$W$2)*(AD355/1.2))</f>
        <v>7041.666666666667</v>
      </c>
      <c r="G355" s="257">
        <f>IF($W$5=0.2,F355*1.2,F355)/$W$4</f>
        <v>8450</v>
      </c>
      <c r="H355" s="256">
        <f>IF(AE355="","",(1-$W$2)*(AE355/1.2))</f>
        <v>7300</v>
      </c>
      <c r="I355" s="257">
        <f>IF($W$5=0.2,H355*1.2,H355)/$W$4</f>
        <v>8760</v>
      </c>
      <c r="J355" s="256"/>
      <c r="K355" s="258"/>
      <c r="L355" s="256"/>
      <c r="M355" s="258"/>
      <c r="N355" s="256"/>
      <c r="O355" s="258"/>
      <c r="P355" s="256"/>
      <c r="Q355" s="258"/>
      <c r="R355" s="256"/>
      <c r="S355" s="258"/>
      <c r="T355" s="256"/>
      <c r="U355" s="258"/>
      <c r="V355" s="256"/>
      <c r="W355" s="258"/>
      <c r="X355" s="191"/>
      <c r="AB355" s="195" t="str">
        <f>C355</f>
        <v>Verto LINE-3D</v>
      </c>
      <c r="AC355" s="219">
        <v>8450</v>
      </c>
      <c r="AD355" s="219">
        <v>8450</v>
      </c>
      <c r="AE355" s="219">
        <v>8760</v>
      </c>
      <c r="AF355" s="219"/>
      <c r="AG355" s="219"/>
      <c r="AH355" s="219"/>
      <c r="AN355" s="192"/>
      <c r="AO355" s="192"/>
      <c r="AP355" s="192"/>
      <c r="AQ355" s="192"/>
      <c r="AR355" s="192"/>
      <c r="AS355" s="192"/>
      <c r="AT355" s="192"/>
    </row>
    <row r="356" spans="2:46" s="190" customFormat="1" ht="24.9" customHeight="1" x14ac:dyDescent="0.25">
      <c r="B356" s="206"/>
      <c r="C356" s="207" t="str">
        <f>IF($C$1="ENG","Premium","Premium")</f>
        <v>Premium</v>
      </c>
      <c r="D356" s="208">
        <f>IF(AC356="","",(1-$W$2)*(AC356/1.2))</f>
        <v>7408.3333333333339</v>
      </c>
      <c r="E356" s="209">
        <f>IF($W$5=0.2,D356*1.2,D356)/$W$4</f>
        <v>8890</v>
      </c>
      <c r="F356" s="208">
        <f>IF(AD356="","",(1-$W$2)*(AD356/1.2))</f>
        <v>7408.3333333333339</v>
      </c>
      <c r="G356" s="209">
        <f>IF($W$5=0.2,F356*1.2,F356)/$W$4</f>
        <v>8890</v>
      </c>
      <c r="H356" s="208">
        <f>IF(AE356="","",(1-$W$2)*(AE356/1.2))</f>
        <v>7741.666666666667</v>
      </c>
      <c r="I356" s="209">
        <f>IF($W$5=0.2,H356*1.2,H356)/$W$4</f>
        <v>9290</v>
      </c>
      <c r="J356" s="208"/>
      <c r="K356" s="210"/>
      <c r="L356" s="208"/>
      <c r="M356" s="210"/>
      <c r="N356" s="208"/>
      <c r="O356" s="210"/>
      <c r="P356" s="208"/>
      <c r="Q356" s="210"/>
      <c r="R356" s="208"/>
      <c r="S356" s="210"/>
      <c r="T356" s="208"/>
      <c r="U356" s="210"/>
      <c r="V356" s="208"/>
      <c r="W356" s="210"/>
      <c r="X356" s="191"/>
      <c r="AB356" s="195" t="str">
        <f>C356</f>
        <v>Premium</v>
      </c>
      <c r="AC356" s="219">
        <v>8890</v>
      </c>
      <c r="AD356" s="219">
        <v>8890</v>
      </c>
      <c r="AE356" s="219">
        <v>9290</v>
      </c>
      <c r="AF356" s="219"/>
      <c r="AG356" s="219"/>
      <c r="AH356" s="219"/>
      <c r="AN356" s="192"/>
      <c r="AO356" s="192"/>
      <c r="AP356" s="192"/>
      <c r="AQ356" s="192"/>
      <c r="AR356" s="192"/>
      <c r="AS356" s="192"/>
      <c r="AT356" s="192"/>
    </row>
    <row r="357" spans="2:46" x14ac:dyDescent="0.25">
      <c r="B357" s="187"/>
      <c r="C357" s="1"/>
      <c r="D357" s="186"/>
      <c r="E357" s="186"/>
      <c r="F357" s="186"/>
      <c r="G357" s="186"/>
      <c r="H357" s="186"/>
      <c r="I357" s="186"/>
      <c r="J357" s="186"/>
      <c r="K357" s="186"/>
      <c r="L357" s="186"/>
      <c r="M357" s="200"/>
      <c r="N357" s="186"/>
      <c r="O357" s="186"/>
      <c r="P357" s="186"/>
      <c r="Q357" s="186"/>
      <c r="R357" s="186"/>
      <c r="S357" s="186"/>
      <c r="T357" s="186"/>
      <c r="U357" s="186"/>
      <c r="V357" s="186"/>
      <c r="W357" s="186"/>
      <c r="X357" s="186"/>
    </row>
    <row r="358" spans="2:46" x14ac:dyDescent="0.25">
      <c r="B358" s="211" t="str">
        <f>IF($C$1="ENG","For additonal charge:","Послуги за додаткову плату:")</f>
        <v>Послуги за додаткову плату:</v>
      </c>
      <c r="C358" s="212"/>
      <c r="D358" s="213"/>
      <c r="E358" s="214" t="str">
        <f>CONCATENATE(B351," ",C351)</f>
        <v>ЦІНА з ПДВ</v>
      </c>
      <c r="F358" s="215"/>
      <c r="G358" s="215"/>
      <c r="H358" s="215"/>
      <c r="I358" s="215"/>
      <c r="J358" s="215"/>
      <c r="K358" s="215"/>
      <c r="L358" s="215"/>
      <c r="M358" s="215"/>
      <c r="N358" s="215"/>
      <c r="O358" s="215"/>
      <c r="P358" s="215"/>
      <c r="Q358" s="215"/>
      <c r="R358" s="215"/>
      <c r="S358" s="215"/>
      <c r="T358" s="215"/>
      <c r="U358" s="215"/>
      <c r="V358" s="215"/>
      <c r="W358" s="215"/>
      <c r="X358" s="186"/>
    </row>
    <row r="359" spans="2:46" x14ac:dyDescent="0.25">
      <c r="B359" s="187"/>
      <c r="C359" s="1"/>
      <c r="D359" s="186"/>
      <c r="E359" s="186"/>
      <c r="F359" s="186"/>
      <c r="G359" s="186"/>
      <c r="H359" s="186"/>
      <c r="I359" s="186"/>
      <c r="J359" s="186"/>
      <c r="K359" s="186"/>
      <c r="L359" s="186"/>
      <c r="M359" s="186"/>
      <c r="N359" s="186"/>
      <c r="O359" s="186"/>
      <c r="P359" s="186"/>
      <c r="Q359" s="186"/>
      <c r="R359" s="186"/>
      <c r="S359" s="186"/>
      <c r="T359" s="186"/>
      <c r="U359" s="186"/>
      <c r="V359" s="186"/>
      <c r="W359" s="186"/>
      <c r="X359" s="186"/>
    </row>
    <row r="360" spans="2:46" ht="15" customHeight="1" x14ac:dyDescent="0.25">
      <c r="B360" s="224"/>
      <c r="C360" s="223" t="str">
        <f>IF($C$1="ENG","door leaf with width 100","полотно розміром 100")</f>
        <v>полотно розміром 100</v>
      </c>
      <c r="D360" s="236">
        <f>IF(AC360="","",(1-$W$2)*(AC360/1.2))</f>
        <v>691.66666666666674</v>
      </c>
      <c r="E360" s="227">
        <f>IF($W$5=0.2,D360*1.2,D360)/$W$4</f>
        <v>830.00000000000011</v>
      </c>
      <c r="F360" s="191"/>
      <c r="G360" s="229"/>
      <c r="H360" s="224"/>
      <c r="I360" s="223" t="str">
        <f>IF($C$1="ENG","door lock Soft","замок Soft")</f>
        <v>замок Soft</v>
      </c>
      <c r="J360" s="238">
        <f>IF(AF360="","",(1-$W$2)*(AF360/1.2))</f>
        <v>525</v>
      </c>
      <c r="K360" s="227">
        <f>IF($W$5=0.2,J360*1.2,J360)/$W$4</f>
        <v>630</v>
      </c>
      <c r="L360" s="191"/>
      <c r="M360" s="229"/>
      <c r="N360" s="224"/>
      <c r="O360" s="223" t="str">
        <f>IF($C$1="ENG","cylinder incert","циліндр несиметричний")</f>
        <v>циліндр несиметричний</v>
      </c>
      <c r="P360" s="236">
        <f>IF(AI360="","",(1-$W$2)*(AI360/1.2))</f>
        <v>375</v>
      </c>
      <c r="Q360" s="227">
        <f>IF($W$5=0.2,P360*1.2,P360)/$W$4</f>
        <v>450</v>
      </c>
      <c r="R360" s="186"/>
      <c r="S360" s="186"/>
      <c r="T360" s="186"/>
      <c r="U360" s="186"/>
      <c r="V360" s="186"/>
      <c r="W360" s="186"/>
      <c r="X360" s="186"/>
      <c r="AC360" s="218">
        <v>830</v>
      </c>
      <c r="AF360" s="218">
        <v>630</v>
      </c>
      <c r="AI360" s="218">
        <v>450</v>
      </c>
    </row>
    <row r="361" spans="2:46" ht="15" customHeight="1" x14ac:dyDescent="0.25">
      <c r="B361" s="225"/>
      <c r="C361" s="222" t="str">
        <f>IF($C$1="ENG","Ventilation cut","вентиляційний підріз")</f>
        <v>вентиляційний підріз</v>
      </c>
      <c r="D361" s="237">
        <f>IF(AC361="","",(1-$W$2)*(AC361/1.2))</f>
        <v>162.5</v>
      </c>
      <c r="E361" s="228">
        <f>IF($W$5=0.2,D361*1.2,D361)/$W$4</f>
        <v>195</v>
      </c>
      <c r="F361" s="191"/>
      <c r="G361" s="230"/>
      <c r="H361" s="225"/>
      <c r="I361" s="222" t="str">
        <f>IF($C$1="ENG","door lock Soft black","замок Soft чорн.")</f>
        <v>замок Soft чорн.</v>
      </c>
      <c r="J361" s="239">
        <f>IF(AF361="","",(1-$W$2)*(AF361/1.2))</f>
        <v>650</v>
      </c>
      <c r="K361" s="228">
        <f>IF($W$5=0.2,J361*1.2,J361)/$W$4</f>
        <v>780</v>
      </c>
      <c r="L361" s="191"/>
      <c r="M361" s="230"/>
      <c r="N361" s="225"/>
      <c r="O361" s="222" t="str">
        <f>IF($C$1="ENG","door hindge Prestige (1 unit)","завіса Prestige (1 шт)")</f>
        <v>завіса Prestige (1 шт)</v>
      </c>
      <c r="P361" s="240">
        <f>IF(AI361="","",(1-$W$2)*(AI361/1.2))</f>
        <v>250</v>
      </c>
      <c r="Q361" s="228">
        <f>IF($W$5=0.2,P361*1.2,P361)/$W$4</f>
        <v>300</v>
      </c>
      <c r="R361" s="186"/>
      <c r="S361" s="186"/>
      <c r="T361" s="186"/>
      <c r="U361" s="186"/>
      <c r="V361" s="186"/>
      <c r="W361" s="186"/>
      <c r="X361" s="186"/>
      <c r="AC361" s="218">
        <v>195</v>
      </c>
      <c r="AF361" s="218">
        <v>780</v>
      </c>
      <c r="AI361" s="218">
        <v>300</v>
      </c>
    </row>
    <row r="362" spans="2:46" ht="15" customHeight="1" x14ac:dyDescent="0.25">
      <c r="B362" s="225"/>
      <c r="C362" s="222" t="str">
        <f>IF($C$1="ENG","glazing Graphite / Bronze","скло Графіт / Бронза")</f>
        <v>скло Графіт / Бронза</v>
      </c>
      <c r="D362" s="237">
        <f>IF(AC362="","",(1-$W$2)*(AC362/1.2))</f>
        <v>525</v>
      </c>
      <c r="E362" s="228">
        <f>IF($W$5=0.2,D362*1.2,D362)/$W$4</f>
        <v>630</v>
      </c>
      <c r="F362" s="191"/>
      <c r="G362" s="230"/>
      <c r="H362" s="225"/>
      <c r="I362" s="222" t="str">
        <f>IF($C$1="ENG","door lock Magnet","замок Magnet")</f>
        <v>замок Magnet</v>
      </c>
      <c r="J362" s="239">
        <f>IF(AF362="","",(1-$W$2)*(AF362/1.2))</f>
        <v>766.66666666666674</v>
      </c>
      <c r="K362" s="228">
        <f>IF($W$5=0.2,J362*1.2,J362)/$W$4</f>
        <v>920.00000000000011</v>
      </c>
      <c r="L362" s="191"/>
      <c r="M362" s="230"/>
      <c r="N362" s="225"/>
      <c r="O362" s="222" t="str">
        <f>IF($C$1="ENG","door hinge caps (1 set)","накладка на завіси (1 к-т)")</f>
        <v>накладка на завіси (1 к-т)</v>
      </c>
      <c r="P362" s="240">
        <f>IF(AI362="","",(1-$W$2)*(AI362/1.2))</f>
        <v>75</v>
      </c>
      <c r="Q362" s="228">
        <f>IF($W$5=0.2,P362*1.2,P362)/$W$4</f>
        <v>90</v>
      </c>
      <c r="R362" s="186"/>
      <c r="S362" s="186"/>
      <c r="T362" s="186"/>
      <c r="U362" s="186"/>
      <c r="V362" s="186"/>
      <c r="W362" s="186"/>
      <c r="X362" s="186"/>
      <c r="AC362" s="218">
        <v>630</v>
      </c>
      <c r="AF362" s="218">
        <v>920</v>
      </c>
      <c r="AI362" s="218">
        <v>90</v>
      </c>
    </row>
    <row r="363" spans="2:46" s="8" customFormat="1" ht="15" customHeight="1" x14ac:dyDescent="0.25">
      <c r="B363" s="225"/>
      <c r="C363" s="222" t="str">
        <f>IF($C$1="ENG","glazing Lacobel black ","скло Lacobel чорне")</f>
        <v>скло Lacobel чорне</v>
      </c>
      <c r="D363" s="237">
        <f>IF(AC363="","",(1-$W$2)*(AC363/1.2))</f>
        <v>525</v>
      </c>
      <c r="E363" s="228">
        <f>IF($W$5=0.2,D363*1.2,D363)/$W$4</f>
        <v>630</v>
      </c>
      <c r="F363" s="184"/>
      <c r="G363" s="231"/>
      <c r="H363" s="226"/>
      <c r="I363" s="222" t="str">
        <f>IF($C$1="ENG","door lock Magnet black","замок Magnet чорн.")</f>
        <v>замок Magnet чорн.</v>
      </c>
      <c r="J363" s="239">
        <f>IF(AF363="","",(1-$W$2)*(AF363/1.2))</f>
        <v>958.33333333333337</v>
      </c>
      <c r="K363" s="228">
        <f>IF($W$5=0.2,J363*1.2,J363)/$W$4</f>
        <v>1150</v>
      </c>
      <c r="L363" s="220"/>
      <c r="M363" s="233"/>
      <c r="N363" s="226"/>
      <c r="O363" s="222" t="str">
        <f>IF($C$1="ENG","door handle","дверна ручка")</f>
        <v>дверна ручка</v>
      </c>
      <c r="P363" s="237">
        <f>IF(AI363="","",(1-$W$2)*(AI363/1.2))</f>
        <v>0</v>
      </c>
      <c r="Q363" s="235" t="str">
        <f>IF($C$1="ENG","see Handles Price","див. Таблицю Ручки")</f>
        <v>див. Таблицю Ручки</v>
      </c>
      <c r="AC363" s="218">
        <v>630</v>
      </c>
      <c r="AF363" s="218">
        <v>1150</v>
      </c>
      <c r="AI363" s="218">
        <v>0</v>
      </c>
      <c r="AN363" s="123"/>
      <c r="AO363" s="123"/>
      <c r="AP363" s="123"/>
      <c r="AQ363" s="123"/>
      <c r="AR363" s="123"/>
      <c r="AS363" s="123"/>
      <c r="AT363" s="123"/>
    </row>
    <row r="364" spans="2:46" ht="15" customHeight="1" x14ac:dyDescent="0.25">
      <c r="C364" s="1"/>
      <c r="F364" s="221"/>
      <c r="G364" s="232"/>
      <c r="H364" s="225"/>
      <c r="I364" s="222" t="str">
        <f>IF($C$1="ENG","door handle-lock (for sliding doors)","ручка-замок (для дверей купе)")</f>
        <v>ручка-замок (для дверей купе)</v>
      </c>
      <c r="J364" s="237">
        <f>IF(AF364="","",(1-$W$2)*(AF364/1.2))</f>
        <v>533.33333333333337</v>
      </c>
      <c r="K364" s="228">
        <f>IF($W$5=0.2,J364*1.2,J364)/$W$4</f>
        <v>640</v>
      </c>
      <c r="L364" s="190"/>
      <c r="AF364" s="218">
        <v>640</v>
      </c>
      <c r="AI364" s="8"/>
      <c r="AN364" s="1"/>
    </row>
    <row r="365" spans="2:46" x14ac:dyDescent="0.25">
      <c r="C365" s="1"/>
      <c r="F365" s="21"/>
      <c r="G365" s="21"/>
      <c r="H365" s="10"/>
      <c r="I365" s="33"/>
      <c r="J365" s="33"/>
      <c r="K365" s="33"/>
      <c r="S365" s="132"/>
      <c r="T365" s="183"/>
      <c r="U365" s="183"/>
      <c r="V365" s="183"/>
      <c r="W365" s="183"/>
    </row>
    <row r="366" spans="2:46" x14ac:dyDescent="0.25">
      <c r="C366" s="110"/>
      <c r="D366" s="21"/>
      <c r="E366" s="21"/>
      <c r="F366" s="21"/>
      <c r="G366" s="21"/>
      <c r="H366" s="5"/>
    </row>
    <row r="367" spans="2:46" x14ac:dyDescent="0.25">
      <c r="C367" s="110"/>
      <c r="D367" s="21"/>
      <c r="E367" s="21"/>
      <c r="F367" s="21"/>
      <c r="G367" s="21"/>
      <c r="H367" s="5"/>
    </row>
    <row r="368" spans="2:46" x14ac:dyDescent="0.25">
      <c r="C368" s="110"/>
      <c r="D368" s="21"/>
      <c r="E368" s="21"/>
      <c r="F368" s="21"/>
      <c r="G368" s="21"/>
      <c r="H368" s="5"/>
    </row>
    <row r="369" spans="2:46" s="8" customFormat="1" ht="24.9" customHeight="1" x14ac:dyDescent="0.25">
      <c r="B369" s="246" t="str">
        <f>TITLE!C20</f>
        <v>Полотна збірні: LADA C</v>
      </c>
      <c r="C369" s="244"/>
      <c r="D369" s="245"/>
      <c r="E369" s="245"/>
      <c r="F369" s="216"/>
      <c r="G369" s="216"/>
      <c r="H369" s="216"/>
      <c r="I369" s="217"/>
      <c r="J369" s="217"/>
      <c r="K369" s="217"/>
      <c r="L369" s="217"/>
      <c r="M369" s="217"/>
      <c r="N369" s="217"/>
      <c r="O369" s="217"/>
      <c r="P369" s="217"/>
      <c r="Q369" s="217"/>
      <c r="R369" s="217"/>
      <c r="S369" s="217"/>
      <c r="T369" s="217"/>
      <c r="U369" s="217"/>
      <c r="V369" s="217"/>
      <c r="W369" s="217"/>
      <c r="X369" s="185"/>
      <c r="AN369" s="123"/>
      <c r="AO369" s="123"/>
      <c r="AP369" s="123"/>
      <c r="AQ369" s="123"/>
      <c r="AR369" s="123"/>
      <c r="AS369" s="123"/>
      <c r="AT369" s="123"/>
    </row>
    <row r="370" spans="2:46" s="8" customFormat="1" x14ac:dyDescent="0.25">
      <c r="B370" s="83"/>
      <c r="C370" s="162"/>
      <c r="D370" s="247"/>
      <c r="E370" s="247"/>
      <c r="F370" s="247"/>
      <c r="G370" s="247"/>
      <c r="H370" s="10"/>
      <c r="I370" s="264"/>
      <c r="T370" s="90"/>
      <c r="U370" s="90"/>
      <c r="V370" s="90"/>
      <c r="W370" s="90"/>
      <c r="AN370" s="123"/>
      <c r="AO370" s="123"/>
      <c r="AP370" s="123"/>
      <c r="AQ370" s="123"/>
      <c r="AR370" s="123"/>
      <c r="AS370" s="123"/>
      <c r="AT370" s="123"/>
    </row>
    <row r="371" spans="2:46" x14ac:dyDescent="0.25">
      <c r="B371" s="186"/>
      <c r="C371" s="193" t="str">
        <f>IF($C$1="ENG","model:","модель:")</f>
        <v>модель:</v>
      </c>
      <c r="D371" s="186"/>
      <c r="E371" s="196" t="s">
        <v>33</v>
      </c>
      <c r="F371" s="188"/>
      <c r="G371" s="196" t="s">
        <v>34</v>
      </c>
      <c r="H371" s="188"/>
      <c r="I371" s="248"/>
      <c r="J371" s="188"/>
      <c r="K371" s="248"/>
      <c r="L371" s="188"/>
      <c r="M371" s="248"/>
      <c r="N371" s="188"/>
      <c r="O371" s="248"/>
      <c r="P371" s="186"/>
      <c r="Q371" s="186"/>
      <c r="R371" s="186"/>
      <c r="S371" s="186"/>
      <c r="T371" s="186"/>
      <c r="U371" s="186"/>
      <c r="V371" s="186"/>
      <c r="W371" s="186"/>
      <c r="X371" s="186"/>
    </row>
    <row r="372" spans="2:46" x14ac:dyDescent="0.25">
      <c r="B372" s="186"/>
      <c r="C372" s="187"/>
      <c r="D372" s="186"/>
      <c r="E372" s="197"/>
      <c r="F372" s="186"/>
      <c r="G372" s="197"/>
      <c r="H372" s="186"/>
      <c r="I372" s="200"/>
      <c r="J372" s="186"/>
      <c r="K372" s="200"/>
      <c r="L372" s="186"/>
      <c r="M372" s="200"/>
      <c r="N372" s="186"/>
      <c r="O372" s="200"/>
      <c r="P372" s="186"/>
      <c r="Q372" s="186"/>
      <c r="R372" s="186"/>
      <c r="S372" s="186"/>
      <c r="T372" s="186"/>
      <c r="U372" s="186"/>
      <c r="V372" s="186"/>
      <c r="W372" s="186"/>
      <c r="X372" s="186"/>
    </row>
    <row r="373" spans="2:46" x14ac:dyDescent="0.25">
      <c r="B373" s="186"/>
      <c r="C373" s="187"/>
      <c r="D373" s="186"/>
      <c r="E373" s="197"/>
      <c r="F373" s="186"/>
      <c r="G373" s="197"/>
      <c r="H373" s="186"/>
      <c r="I373" s="200"/>
      <c r="J373" s="186"/>
      <c r="K373" s="200"/>
      <c r="L373" s="186"/>
      <c r="M373" s="200"/>
      <c r="N373" s="186"/>
      <c r="O373" s="200"/>
      <c r="P373" s="186"/>
      <c r="Q373" s="186"/>
      <c r="R373" s="186"/>
      <c r="S373" s="186"/>
      <c r="T373" s="186"/>
      <c r="U373" s="186"/>
      <c r="V373" s="186"/>
      <c r="W373" s="186"/>
      <c r="X373" s="186"/>
    </row>
    <row r="374" spans="2:46" x14ac:dyDescent="0.25">
      <c r="B374" s="186"/>
      <c r="C374" s="187"/>
      <c r="D374" s="186"/>
      <c r="E374" s="197"/>
      <c r="F374" s="186"/>
      <c r="G374" s="197"/>
      <c r="H374" s="186"/>
      <c r="I374" s="200"/>
      <c r="J374" s="186"/>
      <c r="K374" s="200"/>
      <c r="L374" s="186"/>
      <c r="M374" s="200"/>
      <c r="N374" s="186"/>
      <c r="O374" s="200"/>
      <c r="P374" s="186"/>
      <c r="Q374" s="186"/>
      <c r="R374" s="186"/>
      <c r="S374" s="186"/>
      <c r="T374" s="186"/>
      <c r="U374" s="186"/>
      <c r="V374" s="186"/>
      <c r="W374" s="186"/>
      <c r="X374" s="186"/>
    </row>
    <row r="375" spans="2:46" x14ac:dyDescent="0.25">
      <c r="B375" s="186"/>
      <c r="C375" s="187"/>
      <c r="D375" s="186"/>
      <c r="E375" s="197"/>
      <c r="F375" s="186"/>
      <c r="G375" s="197"/>
      <c r="H375" s="186"/>
      <c r="I375" s="200"/>
      <c r="J375" s="186"/>
      <c r="K375" s="200"/>
      <c r="L375" s="186"/>
      <c r="M375" s="200"/>
      <c r="N375" s="186"/>
      <c r="O375" s="200"/>
      <c r="P375" s="186"/>
      <c r="Q375" s="186"/>
      <c r="R375" s="186"/>
      <c r="S375" s="186"/>
      <c r="T375" s="186"/>
      <c r="U375" s="186"/>
      <c r="V375" s="186"/>
      <c r="W375" s="186"/>
      <c r="X375" s="186"/>
    </row>
    <row r="376" spans="2:46" x14ac:dyDescent="0.25">
      <c r="B376" s="186"/>
      <c r="C376" s="187"/>
      <c r="D376" s="186"/>
      <c r="E376" s="197"/>
      <c r="F376" s="186"/>
      <c r="G376" s="197"/>
      <c r="H376" s="186"/>
      <c r="I376" s="200"/>
      <c r="J376" s="186"/>
      <c r="K376" s="200"/>
      <c r="L376" s="186"/>
      <c r="M376" s="200"/>
      <c r="N376" s="186"/>
      <c r="O376" s="200"/>
      <c r="P376" s="186"/>
      <c r="Q376" s="186"/>
      <c r="R376" s="186"/>
      <c r="S376" s="186"/>
      <c r="T376" s="186"/>
      <c r="U376" s="186"/>
      <c r="V376" s="186"/>
      <c r="W376" s="186"/>
      <c r="X376" s="186"/>
    </row>
    <row r="377" spans="2:46" x14ac:dyDescent="0.25">
      <c r="B377" s="186"/>
      <c r="C377" s="187"/>
      <c r="D377" s="186"/>
      <c r="E377" s="197"/>
      <c r="F377" s="186"/>
      <c r="G377" s="197"/>
      <c r="H377" s="186"/>
      <c r="I377" s="200"/>
      <c r="J377" s="186"/>
      <c r="K377" s="200"/>
      <c r="L377" s="186"/>
      <c r="M377" s="200"/>
      <c r="N377" s="186"/>
      <c r="O377" s="200"/>
      <c r="P377" s="186"/>
      <c r="Q377" s="186"/>
      <c r="R377" s="186"/>
      <c r="S377" s="186"/>
      <c r="T377" s="186"/>
      <c r="U377" s="186"/>
      <c r="V377" s="186"/>
      <c r="W377" s="186"/>
      <c r="X377" s="186"/>
    </row>
    <row r="378" spans="2:46" x14ac:dyDescent="0.25">
      <c r="B378" s="186"/>
      <c r="C378" s="187"/>
      <c r="D378" s="186"/>
      <c r="E378" s="197"/>
      <c r="F378" s="186"/>
      <c r="G378" s="197"/>
      <c r="H378" s="186"/>
      <c r="I378" s="200"/>
      <c r="J378" s="186"/>
      <c r="K378" s="200"/>
      <c r="L378" s="186"/>
      <c r="M378" s="200"/>
      <c r="N378" s="186"/>
      <c r="O378" s="200"/>
      <c r="P378" s="186"/>
      <c r="Q378" s="186"/>
      <c r="R378" s="186"/>
      <c r="S378" s="186"/>
      <c r="T378" s="186"/>
      <c r="U378" s="186"/>
      <c r="V378" s="186"/>
      <c r="W378" s="186"/>
      <c r="X378" s="186"/>
    </row>
    <row r="379" spans="2:46" x14ac:dyDescent="0.25">
      <c r="B379" s="186"/>
      <c r="C379" s="1"/>
      <c r="D379" s="186"/>
      <c r="E379" s="197"/>
      <c r="F379" s="186"/>
      <c r="G379" s="197"/>
      <c r="H379" s="186"/>
      <c r="I379" s="200"/>
      <c r="J379" s="186"/>
      <c r="K379" s="200"/>
      <c r="L379" s="186"/>
      <c r="M379" s="200"/>
      <c r="N379" s="186"/>
      <c r="O379" s="200"/>
      <c r="P379" s="186"/>
      <c r="Q379" s="186"/>
      <c r="R379" s="186"/>
      <c r="S379" s="186"/>
      <c r="T379" s="186"/>
      <c r="U379" s="186"/>
      <c r="V379" s="186"/>
      <c r="W379" s="186"/>
      <c r="X379" s="186"/>
    </row>
    <row r="380" spans="2:46" x14ac:dyDescent="0.25">
      <c r="B380" s="186"/>
      <c r="C380" s="187" t="str">
        <f>IF($C$1="ENG","filling:","заповнення:")</f>
        <v>заповнення:</v>
      </c>
      <c r="D380" s="186"/>
      <c r="E380" s="198" t="str">
        <f>IF($C$1="ENG","softwood","клеєний брус")</f>
        <v>клеєний брус</v>
      </c>
      <c r="F380" s="189"/>
      <c r="G380" s="198" t="str">
        <f>IF($C$1="ENG","softwood","клеєний брус")</f>
        <v>клеєний брус</v>
      </c>
      <c r="H380" s="189"/>
      <c r="I380" s="249"/>
      <c r="J380" s="189"/>
      <c r="K380" s="249"/>
      <c r="L380" s="189"/>
      <c r="M380" s="249"/>
      <c r="N380" s="189"/>
      <c r="O380" s="249"/>
      <c r="P380" s="186"/>
      <c r="Q380" s="186"/>
      <c r="R380" s="186"/>
      <c r="S380" s="186"/>
      <c r="T380" s="186"/>
      <c r="U380" s="186"/>
      <c r="V380" s="186"/>
      <c r="W380" s="186"/>
      <c r="X380" s="186"/>
    </row>
    <row r="381" spans="2:46" x14ac:dyDescent="0.25">
      <c r="B381" s="186"/>
      <c r="C381" s="187" t="str">
        <f>IF($C$1="ENG","glazing:","скління:")</f>
        <v>скління:</v>
      </c>
      <c r="D381" s="186"/>
      <c r="E381" s="198" t="str">
        <f>IF($C$1="ENG","Satin","Сатин")</f>
        <v>Сатин</v>
      </c>
      <c r="F381" s="189"/>
      <c r="G381" s="198" t="str">
        <f>IF($C$1="ENG","Satin","Сатин")</f>
        <v>Сатин</v>
      </c>
      <c r="H381" s="189"/>
      <c r="I381" s="249"/>
      <c r="J381" s="189"/>
      <c r="K381" s="249"/>
      <c r="L381" s="189"/>
      <c r="M381" s="249"/>
      <c r="N381" s="189"/>
      <c r="O381" s="249"/>
      <c r="P381" s="186"/>
      <c r="Q381" s="186"/>
      <c r="R381" s="186"/>
      <c r="S381" s="186"/>
      <c r="T381" s="186"/>
      <c r="U381" s="186"/>
      <c r="V381" s="186"/>
      <c r="W381" s="186"/>
      <c r="X381" s="186"/>
    </row>
    <row r="382" spans="2:46" x14ac:dyDescent="0.25">
      <c r="D382" s="199"/>
      <c r="E382" s="197"/>
      <c r="F382" s="200"/>
      <c r="G382" s="197"/>
      <c r="H382" s="200"/>
      <c r="I382" s="200"/>
      <c r="J382" s="200"/>
      <c r="K382" s="200"/>
      <c r="L382" s="200"/>
      <c r="M382" s="200"/>
      <c r="N382" s="200"/>
      <c r="O382" s="200"/>
      <c r="P382" s="200"/>
      <c r="Q382" s="200"/>
      <c r="R382" s="200"/>
      <c r="S382" s="200"/>
      <c r="T382" s="200"/>
      <c r="U382" s="200"/>
      <c r="V382" s="200"/>
      <c r="W382" s="200"/>
      <c r="X382" s="186"/>
    </row>
    <row r="383" spans="2:46" s="190" customFormat="1" ht="15" customHeight="1" x14ac:dyDescent="0.25">
      <c r="B383" s="241" t="str">
        <f>IF($C$1="ENG","PRICE","ЦІНА")</f>
        <v>ЦІНА</v>
      </c>
      <c r="C383" s="242" t="str">
        <f>IF($C$1="ENG",IF($W$5=0.2,"with VAT","no VAT"),IF($W$5=0.2,"з ПДВ","без ПДВ"))</f>
        <v>з ПДВ</v>
      </c>
      <c r="D383" s="191"/>
      <c r="E383" s="243"/>
      <c r="F383" s="191"/>
      <c r="G383" s="243"/>
      <c r="H383" s="191"/>
      <c r="I383" s="194"/>
      <c r="J383" s="191"/>
      <c r="K383" s="194"/>
      <c r="L383" s="191"/>
      <c r="M383" s="194"/>
      <c r="N383" s="191"/>
      <c r="O383" s="194"/>
      <c r="P383" s="191"/>
      <c r="Q383" s="191"/>
      <c r="R383" s="191"/>
      <c r="S383" s="191"/>
      <c r="T383" s="191"/>
      <c r="U383" s="191"/>
      <c r="V383" s="191"/>
      <c r="W383" s="191"/>
      <c r="X383" s="191"/>
      <c r="AN383" s="192"/>
      <c r="AO383" s="192"/>
      <c r="AP383" s="192"/>
      <c r="AQ383" s="192"/>
      <c r="AR383" s="192"/>
      <c r="AS383" s="192"/>
      <c r="AT383" s="192"/>
    </row>
    <row r="384" spans="2:46" s="190" customFormat="1" ht="24.9" customHeight="1" x14ac:dyDescent="0.25">
      <c r="B384" s="201" t="str">
        <f>IF($C$1="ENG","Cover:","Покриття:")</f>
        <v>Покриття:</v>
      </c>
      <c r="C384" s="202" t="str">
        <f>IF($C$1="ENG","Verto-CELL","Verto-CELL")</f>
        <v>Verto-CELL</v>
      </c>
      <c r="D384" s="203">
        <f>IF(AC384="","",(1-$W$2)*(AC384/1.2))</f>
        <v>5941.666666666667</v>
      </c>
      <c r="E384" s="204">
        <f>IF($W$5=0.2,D384*1.2,D384)/$W$4</f>
        <v>7130</v>
      </c>
      <c r="F384" s="203">
        <f>IF(AD384="","",(1-$W$2)*(AD384/1.2))</f>
        <v>5941.666666666667</v>
      </c>
      <c r="G384" s="204">
        <f>IF($W$5=0.2,F384*1.2,F384)/$W$4</f>
        <v>7130</v>
      </c>
      <c r="H384" s="203"/>
      <c r="I384" s="205"/>
      <c r="J384" s="203"/>
      <c r="K384" s="205"/>
      <c r="L384" s="203"/>
      <c r="M384" s="205"/>
      <c r="N384" s="203"/>
      <c r="O384" s="205"/>
      <c r="P384" s="203"/>
      <c r="Q384" s="205"/>
      <c r="R384" s="203"/>
      <c r="S384" s="205"/>
      <c r="T384" s="203"/>
      <c r="U384" s="205"/>
      <c r="V384" s="203"/>
      <c r="W384" s="205"/>
      <c r="X384" s="191"/>
      <c r="AB384" s="195" t="str">
        <f>C384</f>
        <v>Verto-CELL</v>
      </c>
      <c r="AC384" s="219">
        <v>7130</v>
      </c>
      <c r="AD384" s="219">
        <v>7130</v>
      </c>
      <c r="AE384" s="219"/>
      <c r="AF384" s="219"/>
      <c r="AG384" s="219"/>
      <c r="AH384" s="219"/>
      <c r="AN384" s="192"/>
      <c r="AO384" s="192"/>
      <c r="AP384" s="192"/>
      <c r="AQ384" s="192"/>
      <c r="AR384" s="192"/>
      <c r="AS384" s="192"/>
      <c r="AT384" s="192"/>
    </row>
    <row r="385" spans="2:46" s="190" customFormat="1" ht="24.9" customHeight="1" x14ac:dyDescent="0.25">
      <c r="B385" s="254"/>
      <c r="C385" s="255" t="str">
        <f>IF($C$1="ENG","UNI-MAT","UNI-MAT")</f>
        <v>UNI-MAT</v>
      </c>
      <c r="D385" s="256">
        <f>IF(AC385="","",(1-$W$2)*(AC385/1.2))</f>
        <v>6775</v>
      </c>
      <c r="E385" s="257">
        <f>IF($W$5=0.2,D385*1.2,D385)/$W$4</f>
        <v>8130</v>
      </c>
      <c r="F385" s="256">
        <f>IF(AD385="","",(1-$W$2)*(AD385/1.2))</f>
        <v>6775</v>
      </c>
      <c r="G385" s="257">
        <f>IF($W$5=0.2,F385*1.2,F385)/$W$4</f>
        <v>8130</v>
      </c>
      <c r="H385" s="256"/>
      <c r="I385" s="258"/>
      <c r="J385" s="256"/>
      <c r="K385" s="258"/>
      <c r="L385" s="256"/>
      <c r="M385" s="258"/>
      <c r="N385" s="256"/>
      <c r="O385" s="258"/>
      <c r="P385" s="256"/>
      <c r="Q385" s="258"/>
      <c r="R385" s="256"/>
      <c r="S385" s="258"/>
      <c r="T385" s="256"/>
      <c r="U385" s="258"/>
      <c r="V385" s="256"/>
      <c r="W385" s="258"/>
      <c r="X385" s="191"/>
      <c r="AB385" s="195" t="str">
        <f>C385</f>
        <v>UNI-MAT</v>
      </c>
      <c r="AC385" s="219">
        <v>8130</v>
      </c>
      <c r="AD385" s="219">
        <v>8130</v>
      </c>
      <c r="AE385" s="219"/>
      <c r="AF385" s="219"/>
      <c r="AG385" s="219"/>
      <c r="AH385" s="219"/>
      <c r="AN385" s="192"/>
      <c r="AO385" s="192"/>
      <c r="AP385" s="192"/>
      <c r="AQ385" s="192"/>
      <c r="AR385" s="192"/>
      <c r="AS385" s="192"/>
      <c r="AT385" s="192"/>
    </row>
    <row r="386" spans="2:46" s="190" customFormat="1" ht="24.9" customHeight="1" x14ac:dyDescent="0.25">
      <c r="B386" s="254"/>
      <c r="C386" s="255" t="str">
        <f>IF($C$1="ENG","RESIST","RESIST")</f>
        <v>RESIST</v>
      </c>
      <c r="D386" s="256">
        <f>IF(AC386="","",(1-$W$2)*(AC386/1.2))</f>
        <v>7041.666666666667</v>
      </c>
      <c r="E386" s="257">
        <f>IF($W$5=0.2,D386*1.2,D386)/$W$4</f>
        <v>8450</v>
      </c>
      <c r="F386" s="256">
        <f>IF(AD386="","",(1-$W$2)*(AD386/1.2))</f>
        <v>7041.666666666667</v>
      </c>
      <c r="G386" s="257">
        <f>IF($W$5=0.2,F386*1.2,F386)/$W$4</f>
        <v>8450</v>
      </c>
      <c r="H386" s="256"/>
      <c r="I386" s="258"/>
      <c r="J386" s="256"/>
      <c r="K386" s="258"/>
      <c r="L386" s="256"/>
      <c r="M386" s="258"/>
      <c r="N386" s="256"/>
      <c r="O386" s="258"/>
      <c r="P386" s="256"/>
      <c r="Q386" s="258"/>
      <c r="R386" s="256"/>
      <c r="S386" s="258"/>
      <c r="T386" s="256"/>
      <c r="U386" s="258"/>
      <c r="V386" s="256"/>
      <c r="W386" s="258"/>
      <c r="X386" s="191"/>
      <c r="AB386" s="195" t="str">
        <f>C386</f>
        <v>RESIST</v>
      </c>
      <c r="AC386" s="219">
        <v>8450</v>
      </c>
      <c r="AD386" s="219">
        <v>8450</v>
      </c>
      <c r="AE386" s="219"/>
      <c r="AF386" s="219"/>
      <c r="AG386" s="219"/>
      <c r="AH386" s="219"/>
      <c r="AN386" s="192"/>
      <c r="AO386" s="192"/>
      <c r="AP386" s="192"/>
      <c r="AQ386" s="192"/>
      <c r="AR386" s="192"/>
      <c r="AS386" s="192"/>
      <c r="AT386" s="192"/>
    </row>
    <row r="387" spans="2:46" s="190" customFormat="1" ht="24.9" customHeight="1" x14ac:dyDescent="0.25">
      <c r="B387" s="254"/>
      <c r="C387" s="255" t="str">
        <f>IF($C$1="ENG","Verto LINE-3D","Verto LINE-3D")</f>
        <v>Verto LINE-3D</v>
      </c>
      <c r="D387" s="256">
        <f>IF(AC387="","",(1-$W$2)*(AC387/1.2))</f>
        <v>7675</v>
      </c>
      <c r="E387" s="257">
        <f>IF($W$5=0.2,D387*1.2,D387)/$W$4</f>
        <v>9210</v>
      </c>
      <c r="F387" s="256">
        <f>IF(AD387="","",(1-$W$2)*(AD387/1.2))</f>
        <v>7675</v>
      </c>
      <c r="G387" s="257">
        <f>IF($W$5=0.2,F387*1.2,F387)/$W$4</f>
        <v>9210</v>
      </c>
      <c r="H387" s="256"/>
      <c r="I387" s="258"/>
      <c r="J387" s="256"/>
      <c r="K387" s="258"/>
      <c r="L387" s="256"/>
      <c r="M387" s="258"/>
      <c r="N387" s="256"/>
      <c r="O387" s="258"/>
      <c r="P387" s="256"/>
      <c r="Q387" s="258"/>
      <c r="R387" s="256"/>
      <c r="S387" s="258"/>
      <c r="T387" s="256"/>
      <c r="U387" s="258"/>
      <c r="V387" s="256"/>
      <c r="W387" s="258"/>
      <c r="X387" s="191"/>
      <c r="AB387" s="195" t="str">
        <f>C387</f>
        <v>Verto LINE-3D</v>
      </c>
      <c r="AC387" s="219">
        <v>9210</v>
      </c>
      <c r="AD387" s="219">
        <v>9210</v>
      </c>
      <c r="AE387" s="219"/>
      <c r="AF387" s="219"/>
      <c r="AG387" s="219"/>
      <c r="AH387" s="219"/>
      <c r="AN387" s="192"/>
      <c r="AO387" s="192"/>
      <c r="AP387" s="192"/>
      <c r="AQ387" s="192"/>
      <c r="AR387" s="192"/>
      <c r="AS387" s="192"/>
      <c r="AT387" s="192"/>
    </row>
    <row r="388" spans="2:46" s="190" customFormat="1" ht="24.9" customHeight="1" x14ac:dyDescent="0.25">
      <c r="B388" s="206"/>
      <c r="C388" s="207" t="str">
        <f>IF($C$1="ENG","Premium","Premium")</f>
        <v>Premium</v>
      </c>
      <c r="D388" s="208">
        <f>IF(AC388="","",(1-$W$2)*(AC388/1.2))</f>
        <v>8050</v>
      </c>
      <c r="E388" s="209">
        <f>IF($W$5=0.2,D388*1.2,D388)/$W$4</f>
        <v>9660</v>
      </c>
      <c r="F388" s="208">
        <f>IF(AD388="","",(1-$W$2)*(AD388/1.2))</f>
        <v>8050</v>
      </c>
      <c r="G388" s="209">
        <f>IF($W$5=0.2,F388*1.2,F388)/$W$4</f>
        <v>9660</v>
      </c>
      <c r="H388" s="208"/>
      <c r="I388" s="210"/>
      <c r="J388" s="208"/>
      <c r="K388" s="210"/>
      <c r="L388" s="208"/>
      <c r="M388" s="210"/>
      <c r="N388" s="208"/>
      <c r="O388" s="210"/>
      <c r="P388" s="208"/>
      <c r="Q388" s="210"/>
      <c r="R388" s="208"/>
      <c r="S388" s="210"/>
      <c r="T388" s="208"/>
      <c r="U388" s="210"/>
      <c r="V388" s="208"/>
      <c r="W388" s="210"/>
      <c r="X388" s="191"/>
      <c r="AB388" s="195" t="str">
        <f>C388</f>
        <v>Premium</v>
      </c>
      <c r="AC388" s="219">
        <v>9660</v>
      </c>
      <c r="AD388" s="219">
        <v>9660</v>
      </c>
      <c r="AE388" s="219"/>
      <c r="AF388" s="219"/>
      <c r="AG388" s="219"/>
      <c r="AH388" s="219"/>
      <c r="AN388" s="192"/>
      <c r="AO388" s="192"/>
      <c r="AP388" s="192"/>
      <c r="AQ388" s="192"/>
      <c r="AR388" s="192"/>
      <c r="AS388" s="192"/>
      <c r="AT388" s="192"/>
    </row>
    <row r="389" spans="2:46" x14ac:dyDescent="0.25">
      <c r="B389" s="187"/>
      <c r="C389" s="1"/>
      <c r="D389" s="186"/>
      <c r="E389" s="186"/>
      <c r="F389" s="186"/>
      <c r="G389" s="186"/>
      <c r="H389" s="186"/>
      <c r="I389" s="186"/>
      <c r="J389" s="186"/>
      <c r="K389" s="186"/>
      <c r="L389" s="186"/>
      <c r="M389" s="200"/>
      <c r="N389" s="186"/>
      <c r="O389" s="186"/>
      <c r="P389" s="186"/>
      <c r="Q389" s="186"/>
      <c r="R389" s="186"/>
      <c r="S389" s="186"/>
      <c r="T389" s="186"/>
      <c r="U389" s="186"/>
      <c r="V389" s="186"/>
      <c r="W389" s="186"/>
      <c r="X389" s="186"/>
    </row>
    <row r="390" spans="2:46" x14ac:dyDescent="0.25">
      <c r="B390" s="211" t="str">
        <f>IF($C$1="ENG","For additonal charge:","Послуги за додаткову плату:")</f>
        <v>Послуги за додаткову плату:</v>
      </c>
      <c r="C390" s="212"/>
      <c r="D390" s="213"/>
      <c r="E390" s="214" t="str">
        <f>CONCATENATE(B383," ",C383)</f>
        <v>ЦІНА з ПДВ</v>
      </c>
      <c r="F390" s="215"/>
      <c r="G390" s="215"/>
      <c r="H390" s="215"/>
      <c r="I390" s="215"/>
      <c r="J390" s="215"/>
      <c r="K390" s="215"/>
      <c r="L390" s="215"/>
      <c r="M390" s="215"/>
      <c r="N390" s="215"/>
      <c r="O390" s="215"/>
      <c r="P390" s="215"/>
      <c r="Q390" s="215"/>
      <c r="R390" s="215"/>
      <c r="S390" s="215"/>
      <c r="T390" s="215"/>
      <c r="U390" s="215"/>
      <c r="V390" s="215"/>
      <c r="W390" s="215"/>
      <c r="X390" s="186"/>
    </row>
    <row r="391" spans="2:46" x14ac:dyDescent="0.25">
      <c r="B391" s="187"/>
      <c r="C391" s="1"/>
      <c r="D391" s="186"/>
      <c r="E391" s="186"/>
      <c r="F391" s="186"/>
      <c r="G391" s="186"/>
      <c r="H391" s="186"/>
      <c r="I391" s="186"/>
      <c r="J391" s="186"/>
      <c r="K391" s="186"/>
      <c r="L391" s="186"/>
      <c r="M391" s="186"/>
      <c r="N391" s="186"/>
      <c r="O391" s="186"/>
      <c r="P391" s="186"/>
      <c r="Q391" s="186"/>
      <c r="R391" s="186"/>
      <c r="S391" s="186"/>
      <c r="T391" s="186"/>
      <c r="U391" s="186"/>
      <c r="V391" s="186"/>
      <c r="W391" s="186"/>
      <c r="X391" s="186"/>
    </row>
    <row r="392" spans="2:46" ht="15" customHeight="1" x14ac:dyDescent="0.25">
      <c r="B392" s="224"/>
      <c r="C392" s="223" t="str">
        <f>IF($C$1="ENG","door leaf with width 100","полотно розміром 100")</f>
        <v>полотно розміром 100</v>
      </c>
      <c r="D392" s="236">
        <f>IF(AC392="","",(1-$W$2)*(AC392/1.2))</f>
        <v>691.66666666666674</v>
      </c>
      <c r="E392" s="227">
        <f>IF($W$5=0.2,D392*1.2,D392)/$W$4</f>
        <v>830.00000000000011</v>
      </c>
      <c r="F392" s="191"/>
      <c r="G392" s="229"/>
      <c r="H392" s="224"/>
      <c r="I392" s="223" t="str">
        <f>IF($C$1="ENG","door lock Soft","замок Soft")</f>
        <v>замок Soft</v>
      </c>
      <c r="J392" s="238">
        <f>IF(AF392="","",(1-$W$2)*(AF392/1.2))</f>
        <v>525</v>
      </c>
      <c r="K392" s="227">
        <f>IF($W$5=0.2,J392*1.2,J392)/$W$4</f>
        <v>630</v>
      </c>
      <c r="L392" s="191"/>
      <c r="M392" s="229"/>
      <c r="N392" s="224"/>
      <c r="O392" s="223" t="str">
        <f>IF($C$1="ENG","cylinder incert","циліндр несиметричний")</f>
        <v>циліндр несиметричний</v>
      </c>
      <c r="P392" s="236">
        <f>IF(AI392="","",(1-$W$2)*(AI392/1.2))</f>
        <v>375</v>
      </c>
      <c r="Q392" s="227">
        <f>IF($W$5=0.2,P392*1.2,P392)/$W$4</f>
        <v>450</v>
      </c>
      <c r="R392" s="186"/>
      <c r="S392" s="186"/>
      <c r="T392" s="186"/>
      <c r="U392" s="186"/>
      <c r="V392" s="186"/>
      <c r="W392" s="186"/>
      <c r="X392" s="186"/>
      <c r="AC392" s="218">
        <v>830</v>
      </c>
      <c r="AF392" s="218">
        <v>630</v>
      </c>
      <c r="AI392" s="218">
        <v>450</v>
      </c>
    </row>
    <row r="393" spans="2:46" ht="15" customHeight="1" x14ac:dyDescent="0.25">
      <c r="B393" s="225"/>
      <c r="C393" s="222" t="str">
        <f>IF($C$1="ENG","Ventilation cut","вентиляційний підріз")</f>
        <v>вентиляційний підріз</v>
      </c>
      <c r="D393" s="237">
        <f>IF(AC393="","",(1-$W$2)*(AC393/1.2))</f>
        <v>162.5</v>
      </c>
      <c r="E393" s="228">
        <f>IF($W$5=0.2,D393*1.2,D393)/$W$4</f>
        <v>195</v>
      </c>
      <c r="F393" s="191"/>
      <c r="G393" s="230"/>
      <c r="H393" s="225"/>
      <c r="I393" s="222" t="str">
        <f>IF($C$1="ENG","door lock Soft black","замок Soft чорн.")</f>
        <v>замок Soft чорн.</v>
      </c>
      <c r="J393" s="239">
        <f>IF(AF393="","",(1-$W$2)*(AF393/1.2))</f>
        <v>650</v>
      </c>
      <c r="K393" s="228">
        <f>IF($W$5=0.2,J393*1.2,J393)/$W$4</f>
        <v>780</v>
      </c>
      <c r="L393" s="191"/>
      <c r="M393" s="230"/>
      <c r="N393" s="225"/>
      <c r="O393" s="222" t="str">
        <f>IF($C$1="ENG","door hindge Prestige (1 unit)","завіса Prestige (1 шт)")</f>
        <v>завіса Prestige (1 шт)</v>
      </c>
      <c r="P393" s="240">
        <f>IF(AI393="","",(1-$W$2)*(AI393/1.2))</f>
        <v>250</v>
      </c>
      <c r="Q393" s="228">
        <f>IF($W$5=0.2,P393*1.2,P393)/$W$4</f>
        <v>300</v>
      </c>
      <c r="R393" s="186"/>
      <c r="S393" s="186"/>
      <c r="T393" s="186"/>
      <c r="U393" s="186"/>
      <c r="V393" s="186"/>
      <c r="W393" s="186"/>
      <c r="X393" s="186"/>
      <c r="AC393" s="218">
        <v>195</v>
      </c>
      <c r="AF393" s="218">
        <v>780</v>
      </c>
      <c r="AI393" s="218">
        <v>300</v>
      </c>
    </row>
    <row r="394" spans="2:46" ht="15" customHeight="1" x14ac:dyDescent="0.25">
      <c r="C394" s="222" t="str">
        <f>IF($C$1="ENG","glazing Graphite / Bronze","скло Графіт / Бронза")</f>
        <v>скло Графіт / Бронза</v>
      </c>
      <c r="D394" s="237">
        <f>IF(AC394="","",(1-$W$2)*(AC394/1.2))</f>
        <v>525</v>
      </c>
      <c r="E394" s="228">
        <f>IF($W$5=0.2,D394*1.2,D394)/$W$4</f>
        <v>630</v>
      </c>
      <c r="F394" s="191"/>
      <c r="G394" s="230"/>
      <c r="H394" s="225"/>
      <c r="I394" s="222" t="str">
        <f>IF($C$1="ENG","door lock Magnet","замок Magnet")</f>
        <v>замок Magnet</v>
      </c>
      <c r="J394" s="239">
        <f>IF(AF394="","",(1-$W$2)*(AF394/1.2))</f>
        <v>766.66666666666674</v>
      </c>
      <c r="K394" s="228">
        <f>IF($W$5=0.2,J394*1.2,J394)/$W$4</f>
        <v>920.00000000000011</v>
      </c>
      <c r="L394" s="191"/>
      <c r="M394" s="230"/>
      <c r="N394" s="225"/>
      <c r="O394" s="222" t="str">
        <f>IF($C$1="ENG","door hinge caps (1 set)","накладка на завіси (1 к-т)")</f>
        <v>накладка на завіси (1 к-т)</v>
      </c>
      <c r="P394" s="240">
        <f>IF(AI394="","",(1-$W$2)*(AI394/1.2))</f>
        <v>75</v>
      </c>
      <c r="Q394" s="228">
        <f>IF($W$5=0.2,P394*1.2,P394)/$W$4</f>
        <v>90</v>
      </c>
      <c r="R394" s="186"/>
      <c r="S394" s="186"/>
      <c r="T394" s="186"/>
      <c r="U394" s="186"/>
      <c r="V394" s="186"/>
      <c r="W394" s="186"/>
      <c r="X394" s="186"/>
      <c r="AC394" s="218">
        <v>630</v>
      </c>
      <c r="AF394" s="218">
        <v>920</v>
      </c>
      <c r="AI394" s="218">
        <v>90</v>
      </c>
    </row>
    <row r="395" spans="2:46" s="8" customFormat="1" ht="15" customHeight="1" x14ac:dyDescent="0.25">
      <c r="F395" s="184"/>
      <c r="G395" s="231"/>
      <c r="H395" s="226"/>
      <c r="I395" s="222" t="str">
        <f>IF($C$1="ENG","door lock Magnet black","замок Magnet чорн.")</f>
        <v>замок Magnet чорн.</v>
      </c>
      <c r="J395" s="239">
        <f>IF(AF395="","",(1-$W$2)*(AF395/1.2))</f>
        <v>958.33333333333337</v>
      </c>
      <c r="K395" s="228">
        <f>IF($W$5=0.2,J395*1.2,J395)/$W$4</f>
        <v>1150</v>
      </c>
      <c r="L395" s="220"/>
      <c r="M395" s="233"/>
      <c r="N395" s="226"/>
      <c r="O395" s="222" t="str">
        <f>IF($C$1="ENG","door handle","дверна ручка")</f>
        <v>дверна ручка</v>
      </c>
      <c r="P395" s="237">
        <f>IF(AI395="","",(1-$W$2)*(AI395/1.2))</f>
        <v>0</v>
      </c>
      <c r="Q395" s="235" t="str">
        <f>IF($C$1="ENG","see Handles Price","див. Таблицю Ручки")</f>
        <v>див. Таблицю Ручки</v>
      </c>
      <c r="AF395" s="218">
        <v>1150</v>
      </c>
      <c r="AI395" s="218">
        <v>0</v>
      </c>
      <c r="AN395" s="123"/>
      <c r="AO395" s="123"/>
      <c r="AP395" s="123"/>
      <c r="AQ395" s="123"/>
      <c r="AR395" s="123"/>
      <c r="AS395" s="123"/>
      <c r="AT395" s="123"/>
    </row>
    <row r="396" spans="2:46" ht="15" customHeight="1" x14ac:dyDescent="0.25">
      <c r="C396" s="1"/>
      <c r="F396" s="221"/>
      <c r="G396" s="232"/>
      <c r="H396" s="225"/>
      <c r="I396" s="222" t="str">
        <f>IF($C$1="ENG","door handle-lock (for sliding doors)","ручка-замок (для дверей купе)")</f>
        <v>ручка-замок (для дверей купе)</v>
      </c>
      <c r="J396" s="237">
        <f>IF(AF396="","",(1-$W$2)*(AF396/1.2))</f>
        <v>533.33333333333337</v>
      </c>
      <c r="K396" s="228">
        <f>IF($W$5=0.2,J396*1.2,J396)/$W$4</f>
        <v>640</v>
      </c>
      <c r="L396" s="190"/>
      <c r="AF396" s="218">
        <v>640</v>
      </c>
      <c r="AI396" s="8"/>
      <c r="AN396" s="1"/>
    </row>
    <row r="397" spans="2:46" x14ac:dyDescent="0.25">
      <c r="C397" s="1"/>
      <c r="F397" s="21"/>
      <c r="G397" s="21"/>
      <c r="H397" s="10"/>
      <c r="I397" s="33"/>
      <c r="J397" s="33"/>
      <c r="K397" s="33"/>
      <c r="S397" s="132"/>
      <c r="T397" s="183"/>
      <c r="U397" s="183"/>
      <c r="V397" s="183"/>
      <c r="W397" s="183"/>
    </row>
    <row r="398" spans="2:46" x14ac:dyDescent="0.25">
      <c r="C398" s="110"/>
      <c r="D398" s="21"/>
      <c r="E398" s="21"/>
      <c r="F398" s="21"/>
      <c r="G398" s="21"/>
      <c r="H398" s="5"/>
    </row>
    <row r="399" spans="2:46" x14ac:dyDescent="0.25">
      <c r="C399" s="110"/>
      <c r="D399" s="21"/>
      <c r="E399" s="21"/>
      <c r="F399" s="21"/>
      <c r="G399" s="21"/>
      <c r="H399" s="5"/>
    </row>
    <row r="400" spans="2:46" x14ac:dyDescent="0.25">
      <c r="C400" s="110"/>
      <c r="D400" s="21"/>
      <c r="E400" s="21"/>
      <c r="F400" s="21"/>
      <c r="G400" s="21"/>
      <c r="H400" s="5"/>
    </row>
    <row r="401" spans="2:46" s="8" customFormat="1" ht="24.9" customHeight="1" x14ac:dyDescent="0.25">
      <c r="B401" s="246" t="str">
        <f>TITLE!C21</f>
        <v>Полотна збірні: LADA D</v>
      </c>
      <c r="C401" s="244"/>
      <c r="D401" s="245"/>
      <c r="E401" s="245"/>
      <c r="F401" s="216"/>
      <c r="G401" s="216"/>
      <c r="H401" s="216"/>
      <c r="I401" s="217"/>
      <c r="J401" s="217"/>
      <c r="K401" s="217"/>
      <c r="L401" s="217"/>
      <c r="M401" s="217"/>
      <c r="N401" s="217"/>
      <c r="O401" s="217"/>
      <c r="P401" s="217"/>
      <c r="Q401" s="217"/>
      <c r="R401" s="217"/>
      <c r="S401" s="217"/>
      <c r="T401" s="217"/>
      <c r="U401" s="217"/>
      <c r="V401" s="217"/>
      <c r="W401" s="217"/>
      <c r="X401" s="185"/>
      <c r="AN401" s="123"/>
      <c r="AO401" s="123"/>
      <c r="AP401" s="123"/>
      <c r="AQ401" s="123"/>
      <c r="AR401" s="123"/>
      <c r="AS401" s="123"/>
      <c r="AT401" s="123"/>
    </row>
    <row r="402" spans="2:46" s="8" customFormat="1" x14ac:dyDescent="0.25">
      <c r="B402" s="83"/>
      <c r="C402" s="162"/>
      <c r="D402" s="247"/>
      <c r="E402" s="247"/>
      <c r="F402" s="247"/>
      <c r="G402" s="247"/>
      <c r="H402" s="10"/>
      <c r="I402" s="264"/>
      <c r="T402" s="90"/>
      <c r="U402" s="90"/>
      <c r="V402" s="90"/>
      <c r="W402" s="90"/>
      <c r="AN402" s="123"/>
      <c r="AO402" s="123"/>
      <c r="AP402" s="123"/>
      <c r="AQ402" s="123"/>
      <c r="AR402" s="123"/>
      <c r="AS402" s="123"/>
      <c r="AT402" s="123"/>
    </row>
    <row r="403" spans="2:46" x14ac:dyDescent="0.25">
      <c r="B403" s="186"/>
      <c r="C403" s="193" t="str">
        <f>IF($C$1="ENG","model:","модель:")</f>
        <v>модель:</v>
      </c>
      <c r="D403" s="186"/>
      <c r="E403" s="196" t="s">
        <v>35</v>
      </c>
      <c r="F403" s="188"/>
      <c r="G403" s="196" t="s">
        <v>28</v>
      </c>
      <c r="H403" s="188"/>
      <c r="I403" s="248"/>
      <c r="J403" s="188"/>
      <c r="K403" s="248"/>
      <c r="L403" s="188"/>
      <c r="M403" s="248"/>
      <c r="N403" s="188"/>
      <c r="O403" s="248"/>
      <c r="P403" s="186"/>
      <c r="Q403" s="186"/>
      <c r="R403" s="186"/>
      <c r="S403" s="186"/>
      <c r="T403" s="186"/>
      <c r="U403" s="186"/>
      <c r="V403" s="186"/>
      <c r="W403" s="186"/>
      <c r="X403" s="186"/>
    </row>
    <row r="404" spans="2:46" x14ac:dyDescent="0.25">
      <c r="B404" s="186"/>
      <c r="C404" s="187"/>
      <c r="D404" s="186"/>
      <c r="E404" s="197"/>
      <c r="F404" s="186"/>
      <c r="G404" s="197"/>
      <c r="H404" s="186"/>
      <c r="I404" s="200"/>
      <c r="J404" s="186"/>
      <c r="K404" s="200"/>
      <c r="L404" s="186"/>
      <c r="M404" s="200"/>
      <c r="N404" s="186"/>
      <c r="O404" s="200"/>
      <c r="P404" s="186"/>
      <c r="Q404" s="186"/>
      <c r="R404" s="186"/>
      <c r="S404" s="186"/>
      <c r="T404" s="186"/>
      <c r="U404" s="186"/>
      <c r="V404" s="186"/>
      <c r="W404" s="186"/>
      <c r="X404" s="186"/>
    </row>
    <row r="405" spans="2:46" x14ac:dyDescent="0.25">
      <c r="B405" s="186"/>
      <c r="C405" s="187"/>
      <c r="D405" s="186"/>
      <c r="E405" s="197"/>
      <c r="F405" s="186"/>
      <c r="G405" s="197"/>
      <c r="H405" s="186"/>
      <c r="I405" s="200"/>
      <c r="J405" s="186"/>
      <c r="K405" s="200"/>
      <c r="L405" s="186"/>
      <c r="M405" s="200"/>
      <c r="N405" s="186"/>
      <c r="O405" s="200"/>
      <c r="P405" s="186"/>
      <c r="Q405" s="186"/>
      <c r="R405" s="186"/>
      <c r="S405" s="186"/>
      <c r="T405" s="186"/>
      <c r="U405" s="186"/>
      <c r="V405" s="186"/>
      <c r="W405" s="186"/>
      <c r="X405" s="186"/>
    </row>
    <row r="406" spans="2:46" x14ac:dyDescent="0.25">
      <c r="B406" s="186"/>
      <c r="C406" s="187"/>
      <c r="D406" s="186"/>
      <c r="E406" s="197"/>
      <c r="F406" s="186"/>
      <c r="G406" s="197"/>
      <c r="H406" s="186"/>
      <c r="I406" s="200"/>
      <c r="J406" s="186"/>
      <c r="K406" s="200"/>
      <c r="L406" s="186"/>
      <c r="M406" s="200"/>
      <c r="N406" s="186"/>
      <c r="O406" s="200"/>
      <c r="P406" s="186"/>
      <c r="Q406" s="186"/>
      <c r="R406" s="186"/>
      <c r="S406" s="186"/>
      <c r="T406" s="186"/>
      <c r="U406" s="186"/>
      <c r="V406" s="186"/>
      <c r="W406" s="186"/>
      <c r="X406" s="186"/>
    </row>
    <row r="407" spans="2:46" x14ac:dyDescent="0.25">
      <c r="B407" s="186"/>
      <c r="C407" s="187"/>
      <c r="D407" s="186"/>
      <c r="E407" s="197"/>
      <c r="F407" s="186"/>
      <c r="G407" s="197"/>
      <c r="H407" s="186"/>
      <c r="I407" s="200"/>
      <c r="J407" s="186"/>
      <c r="K407" s="200"/>
      <c r="L407" s="186"/>
      <c r="M407" s="200"/>
      <c r="N407" s="186"/>
      <c r="O407" s="200"/>
      <c r="P407" s="186"/>
      <c r="Q407" s="186"/>
      <c r="R407" s="186"/>
      <c r="S407" s="186"/>
      <c r="T407" s="186"/>
      <c r="U407" s="186"/>
      <c r="V407" s="186"/>
      <c r="W407" s="186"/>
      <c r="X407" s="186"/>
    </row>
    <row r="408" spans="2:46" x14ac:dyDescent="0.25">
      <c r="B408" s="186"/>
      <c r="C408" s="187"/>
      <c r="D408" s="186"/>
      <c r="E408" s="197"/>
      <c r="F408" s="186"/>
      <c r="G408" s="197"/>
      <c r="H408" s="186"/>
      <c r="I408" s="200"/>
      <c r="J408" s="186"/>
      <c r="K408" s="200"/>
      <c r="L408" s="186"/>
      <c r="M408" s="200"/>
      <c r="N408" s="186"/>
      <c r="O408" s="200"/>
      <c r="P408" s="186"/>
      <c r="Q408" s="186"/>
      <c r="R408" s="186"/>
      <c r="S408" s="186"/>
      <c r="T408" s="186"/>
      <c r="U408" s="186"/>
      <c r="V408" s="186"/>
      <c r="W408" s="186"/>
      <c r="X408" s="186"/>
    </row>
    <row r="409" spans="2:46" x14ac:dyDescent="0.25">
      <c r="B409" s="186"/>
      <c r="C409" s="187"/>
      <c r="D409" s="186"/>
      <c r="E409" s="197"/>
      <c r="F409" s="186"/>
      <c r="G409" s="197"/>
      <c r="H409" s="186"/>
      <c r="I409" s="200"/>
      <c r="J409" s="186"/>
      <c r="K409" s="200"/>
      <c r="L409" s="186"/>
      <c r="M409" s="200"/>
      <c r="N409" s="186"/>
      <c r="O409" s="200"/>
      <c r="P409" s="186"/>
      <c r="Q409" s="186"/>
      <c r="R409" s="186"/>
      <c r="S409" s="186"/>
      <c r="T409" s="186"/>
      <c r="U409" s="186"/>
      <c r="V409" s="186"/>
      <c r="W409" s="186"/>
      <c r="X409" s="186"/>
    </row>
    <row r="410" spans="2:46" x14ac:dyDescent="0.25">
      <c r="B410" s="186"/>
      <c r="C410" s="187"/>
      <c r="D410" s="186"/>
      <c r="E410" s="197"/>
      <c r="F410" s="186"/>
      <c r="G410" s="197"/>
      <c r="H410" s="186"/>
      <c r="I410" s="200"/>
      <c r="J410" s="186"/>
      <c r="K410" s="200"/>
      <c r="L410" s="186"/>
      <c r="M410" s="200"/>
      <c r="N410" s="186"/>
      <c r="O410" s="200"/>
      <c r="P410" s="186"/>
      <c r="Q410" s="186"/>
      <c r="R410" s="186"/>
      <c r="S410" s="186"/>
      <c r="T410" s="186"/>
      <c r="U410" s="186"/>
      <c r="V410" s="186"/>
      <c r="W410" s="186"/>
      <c r="X410" s="186"/>
    </row>
    <row r="411" spans="2:46" x14ac:dyDescent="0.25">
      <c r="B411" s="186"/>
      <c r="C411" s="1"/>
      <c r="D411" s="186"/>
      <c r="E411" s="197"/>
      <c r="F411" s="186"/>
      <c r="G411" s="197"/>
      <c r="H411" s="186"/>
      <c r="I411" s="200"/>
      <c r="J411" s="186"/>
      <c r="K411" s="200"/>
      <c r="L411" s="186"/>
      <c r="M411" s="200"/>
      <c r="N411" s="186"/>
      <c r="O411" s="200"/>
      <c r="P411" s="186"/>
      <c r="Q411" s="186"/>
      <c r="R411" s="186"/>
      <c r="S411" s="186"/>
      <c r="T411" s="186"/>
      <c r="U411" s="186"/>
      <c r="V411" s="186"/>
      <c r="W411" s="186"/>
      <c r="X411" s="186"/>
    </row>
    <row r="412" spans="2:46" x14ac:dyDescent="0.25">
      <c r="B412" s="186"/>
      <c r="C412" s="187" t="str">
        <f>IF($C$1="ENG","filling:","заповнення:")</f>
        <v>заповнення:</v>
      </c>
      <c r="D412" s="186"/>
      <c r="E412" s="198" t="str">
        <f>IF($C$1="ENG","softwood","клеєний брус")</f>
        <v>клеєний брус</v>
      </c>
      <c r="F412" s="189"/>
      <c r="G412" s="198" t="str">
        <f>IF($C$1="ENG","softwood","клеєний брус")</f>
        <v>клеєний брус</v>
      </c>
      <c r="H412" s="189"/>
      <c r="I412" s="249"/>
      <c r="J412" s="189"/>
      <c r="K412" s="249"/>
      <c r="L412" s="189"/>
      <c r="M412" s="249"/>
      <c r="N412" s="189"/>
      <c r="O412" s="249"/>
      <c r="P412" s="186"/>
      <c r="Q412" s="186"/>
      <c r="R412" s="186"/>
      <c r="S412" s="186"/>
      <c r="T412" s="186"/>
      <c r="U412" s="186"/>
      <c r="V412" s="186"/>
      <c r="W412" s="186"/>
      <c r="X412" s="186"/>
    </row>
    <row r="413" spans="2:46" x14ac:dyDescent="0.25">
      <c r="B413" s="186"/>
      <c r="C413" s="187" t="str">
        <f>IF($C$1="ENG","glazing:","скління:")</f>
        <v>скління:</v>
      </c>
      <c r="D413" s="186"/>
      <c r="E413" s="198" t="str">
        <f>IF($C$1="ENG","Satin","Сатин")</f>
        <v>Сатин</v>
      </c>
      <c r="F413" s="189"/>
      <c r="G413" s="198" t="str">
        <f>IF($C$1="ENG","Satin","Сатин")</f>
        <v>Сатин</v>
      </c>
      <c r="H413" s="189"/>
      <c r="I413" s="249"/>
      <c r="J413" s="189"/>
      <c r="K413" s="249"/>
      <c r="L413" s="189"/>
      <c r="M413" s="249"/>
      <c r="N413" s="189"/>
      <c r="O413" s="249"/>
      <c r="P413" s="186"/>
      <c r="Q413" s="186"/>
      <c r="R413" s="186"/>
      <c r="S413" s="186"/>
      <c r="T413" s="186"/>
      <c r="U413" s="186"/>
      <c r="V413" s="186"/>
      <c r="W413" s="186"/>
      <c r="X413" s="186"/>
    </row>
    <row r="414" spans="2:46" x14ac:dyDescent="0.25">
      <c r="D414" s="199"/>
      <c r="E414" s="197"/>
      <c r="F414" s="200"/>
      <c r="G414" s="197"/>
      <c r="H414" s="200"/>
      <c r="I414" s="200"/>
      <c r="J414" s="200"/>
      <c r="K414" s="200"/>
      <c r="L414" s="200"/>
      <c r="M414" s="200"/>
      <c r="N414" s="200"/>
      <c r="O414" s="200"/>
      <c r="P414" s="200"/>
      <c r="Q414" s="200"/>
      <c r="R414" s="200"/>
      <c r="S414" s="200"/>
      <c r="T414" s="200"/>
      <c r="U414" s="200"/>
      <c r="V414" s="200"/>
      <c r="W414" s="200"/>
      <c r="X414" s="186"/>
    </row>
    <row r="415" spans="2:46" s="190" customFormat="1" ht="15" customHeight="1" x14ac:dyDescent="0.25">
      <c r="B415" s="241" t="str">
        <f>IF($C$1="ENG","PRICE","ЦІНА")</f>
        <v>ЦІНА</v>
      </c>
      <c r="C415" s="242" t="str">
        <f>IF($C$1="ENG",IF($W$5=0.2,"with VAT","no VAT"),IF($W$5=0.2,"з ПДВ","без ПДВ"))</f>
        <v>з ПДВ</v>
      </c>
      <c r="D415" s="191"/>
      <c r="E415" s="243"/>
      <c r="F415" s="191"/>
      <c r="G415" s="243"/>
      <c r="H415" s="191"/>
      <c r="I415" s="194"/>
      <c r="J415" s="191"/>
      <c r="K415" s="194"/>
      <c r="L415" s="191"/>
      <c r="M415" s="194"/>
      <c r="N415" s="191"/>
      <c r="O415" s="194"/>
      <c r="P415" s="191"/>
      <c r="Q415" s="191"/>
      <c r="R415" s="191"/>
      <c r="S415" s="191"/>
      <c r="T415" s="191"/>
      <c r="U415" s="191"/>
      <c r="V415" s="191"/>
      <c r="W415" s="191"/>
      <c r="X415" s="191"/>
      <c r="AN415" s="192"/>
      <c r="AO415" s="192"/>
      <c r="AP415" s="192"/>
      <c r="AQ415" s="192"/>
      <c r="AR415" s="192"/>
      <c r="AS415" s="192"/>
      <c r="AT415" s="192"/>
    </row>
    <row r="416" spans="2:46" s="190" customFormat="1" ht="24.9" customHeight="1" x14ac:dyDescent="0.25">
      <c r="B416" s="201" t="str">
        <f>IF($C$1="ENG","Cover:","Покриття:")</f>
        <v>Покриття:</v>
      </c>
      <c r="C416" s="202" t="str">
        <f>IF($C$1="ENG","Verto-CELL","Verto-CELL")</f>
        <v>Verto-CELL</v>
      </c>
      <c r="D416" s="203">
        <f>IF(AC416="","",(1-$W$2)*(AC416/1.2))</f>
        <v>5941.666666666667</v>
      </c>
      <c r="E416" s="204">
        <f>IF($W$5=0.2,D416*1.2,D416)/$W$4</f>
        <v>7130</v>
      </c>
      <c r="F416" s="203">
        <f>IF(AD416="","",(1-$W$2)*(AD416/1.2))</f>
        <v>5891.666666666667</v>
      </c>
      <c r="G416" s="204">
        <f>IF($W$5=0.2,F416*1.2,F416)/$W$4</f>
        <v>7070</v>
      </c>
      <c r="H416" s="203"/>
      <c r="I416" s="205"/>
      <c r="J416" s="203"/>
      <c r="K416" s="205"/>
      <c r="L416" s="203"/>
      <c r="M416" s="205"/>
      <c r="N416" s="203"/>
      <c r="O416" s="205"/>
      <c r="P416" s="203"/>
      <c r="Q416" s="205"/>
      <c r="R416" s="203"/>
      <c r="S416" s="205"/>
      <c r="T416" s="203"/>
      <c r="U416" s="205"/>
      <c r="V416" s="203"/>
      <c r="W416" s="205"/>
      <c r="X416" s="191"/>
      <c r="AB416" s="195" t="str">
        <f>C416</f>
        <v>Verto-CELL</v>
      </c>
      <c r="AC416" s="219">
        <v>7130</v>
      </c>
      <c r="AD416" s="219">
        <v>7070</v>
      </c>
      <c r="AE416" s="219"/>
      <c r="AF416" s="219"/>
      <c r="AG416" s="219"/>
      <c r="AH416" s="219"/>
      <c r="AN416" s="192"/>
      <c r="AO416" s="192"/>
      <c r="AP416" s="192"/>
      <c r="AQ416" s="192"/>
      <c r="AR416" s="192"/>
      <c r="AS416" s="192"/>
      <c r="AT416" s="192"/>
    </row>
    <row r="417" spans="2:46" s="190" customFormat="1" ht="24.9" customHeight="1" x14ac:dyDescent="0.25">
      <c r="B417" s="254"/>
      <c r="C417" s="255" t="str">
        <f>IF($C$1="ENG","UNI-MAT","UNI-MAT")</f>
        <v>UNI-MAT</v>
      </c>
      <c r="D417" s="256">
        <f>IF(AC417="","",(1-$W$2)*(AC417/1.2))</f>
        <v>6775</v>
      </c>
      <c r="E417" s="257">
        <f>IF($W$5=0.2,D417*1.2,D417)/$W$4</f>
        <v>8130</v>
      </c>
      <c r="F417" s="256">
        <f>IF(AD417="","",(1-$W$2)*(AD417/1.2))</f>
        <v>6708.3333333333339</v>
      </c>
      <c r="G417" s="257">
        <f>IF($W$5=0.2,F417*1.2,F417)/$W$4</f>
        <v>8050</v>
      </c>
      <c r="H417" s="256"/>
      <c r="I417" s="258"/>
      <c r="J417" s="256"/>
      <c r="K417" s="258"/>
      <c r="L417" s="256"/>
      <c r="M417" s="258"/>
      <c r="N417" s="256"/>
      <c r="O417" s="258"/>
      <c r="P417" s="256"/>
      <c r="Q417" s="258"/>
      <c r="R417" s="256"/>
      <c r="S417" s="258"/>
      <c r="T417" s="256"/>
      <c r="U417" s="258"/>
      <c r="V417" s="256"/>
      <c r="W417" s="258"/>
      <c r="X417" s="191"/>
      <c r="AB417" s="195" t="str">
        <f>C417</f>
        <v>UNI-MAT</v>
      </c>
      <c r="AC417" s="219">
        <v>8130</v>
      </c>
      <c r="AD417" s="219">
        <v>8050</v>
      </c>
      <c r="AE417" s="219"/>
      <c r="AF417" s="219"/>
      <c r="AG417" s="219"/>
      <c r="AH417" s="219"/>
      <c r="AN417" s="192"/>
      <c r="AO417" s="192"/>
      <c r="AP417" s="192"/>
      <c r="AQ417" s="192"/>
      <c r="AR417" s="192"/>
      <c r="AS417" s="192"/>
      <c r="AT417" s="192"/>
    </row>
    <row r="418" spans="2:46" s="190" customFormat="1" ht="24.9" customHeight="1" x14ac:dyDescent="0.25">
      <c r="B418" s="254"/>
      <c r="C418" s="255" t="str">
        <f>IF($C$1="ENG","RESIST","RESIST")</f>
        <v>RESIST</v>
      </c>
      <c r="D418" s="256">
        <f>IF(AC418="","",(1-$W$2)*(AC418/1.2))</f>
        <v>7041.666666666667</v>
      </c>
      <c r="E418" s="257">
        <f>IF($W$5=0.2,D418*1.2,D418)/$W$4</f>
        <v>8450</v>
      </c>
      <c r="F418" s="256">
        <f>IF(AD418="","",(1-$W$2)*(AD418/1.2))</f>
        <v>7008.3333333333339</v>
      </c>
      <c r="G418" s="257">
        <f>IF($W$5=0.2,F418*1.2,F418)/$W$4</f>
        <v>8410</v>
      </c>
      <c r="H418" s="256"/>
      <c r="I418" s="258"/>
      <c r="J418" s="256"/>
      <c r="K418" s="258"/>
      <c r="L418" s="256"/>
      <c r="M418" s="258"/>
      <c r="N418" s="256"/>
      <c r="O418" s="258"/>
      <c r="P418" s="256"/>
      <c r="Q418" s="258"/>
      <c r="R418" s="256"/>
      <c r="S418" s="258"/>
      <c r="T418" s="256"/>
      <c r="U418" s="258"/>
      <c r="V418" s="256"/>
      <c r="W418" s="258"/>
      <c r="X418" s="191"/>
      <c r="AB418" s="195" t="str">
        <f>C418</f>
        <v>RESIST</v>
      </c>
      <c r="AC418" s="219">
        <v>8450</v>
      </c>
      <c r="AD418" s="219">
        <v>8410</v>
      </c>
      <c r="AE418" s="219"/>
      <c r="AF418" s="219"/>
      <c r="AG418" s="219"/>
      <c r="AH418" s="219"/>
      <c r="AN418" s="192"/>
      <c r="AO418" s="192"/>
      <c r="AP418" s="192"/>
      <c r="AQ418" s="192"/>
      <c r="AR418" s="192"/>
      <c r="AS418" s="192"/>
      <c r="AT418" s="192"/>
    </row>
    <row r="419" spans="2:46" s="190" customFormat="1" ht="24.9" customHeight="1" x14ac:dyDescent="0.25">
      <c r="B419" s="254"/>
      <c r="C419" s="255" t="str">
        <f>IF($C$1="ENG","Verto LINE-3D","Verto LINE-3D")</f>
        <v>Verto LINE-3D</v>
      </c>
      <c r="D419" s="256">
        <f>IF(AC419="","",(1-$W$2)*(AC419/1.2))</f>
        <v>7675</v>
      </c>
      <c r="E419" s="257">
        <f>IF($W$5=0.2,D419*1.2,D419)/$W$4</f>
        <v>9210</v>
      </c>
      <c r="F419" s="256">
        <f>IF(AD419="","",(1-$W$2)*(AD419/1.2))</f>
        <v>7566.666666666667</v>
      </c>
      <c r="G419" s="257">
        <f>IF($W$5=0.2,F419*1.2,F419)/$W$4</f>
        <v>9080</v>
      </c>
      <c r="H419" s="256"/>
      <c r="I419" s="258"/>
      <c r="J419" s="256"/>
      <c r="K419" s="258"/>
      <c r="L419" s="256"/>
      <c r="M419" s="258"/>
      <c r="N419" s="256"/>
      <c r="O419" s="258"/>
      <c r="P419" s="256"/>
      <c r="Q419" s="258"/>
      <c r="R419" s="256"/>
      <c r="S419" s="258"/>
      <c r="T419" s="256"/>
      <c r="U419" s="258"/>
      <c r="V419" s="256"/>
      <c r="W419" s="258"/>
      <c r="X419" s="191"/>
      <c r="AB419" s="195" t="str">
        <f>C419</f>
        <v>Verto LINE-3D</v>
      </c>
      <c r="AC419" s="219">
        <v>9210</v>
      </c>
      <c r="AD419" s="219">
        <v>9080</v>
      </c>
      <c r="AE419" s="219"/>
      <c r="AF419" s="219"/>
      <c r="AG419" s="219"/>
      <c r="AH419" s="219"/>
      <c r="AN419" s="192"/>
      <c r="AO419" s="192"/>
      <c r="AP419" s="192"/>
      <c r="AQ419" s="192"/>
      <c r="AR419" s="192"/>
      <c r="AS419" s="192"/>
      <c r="AT419" s="192"/>
    </row>
    <row r="420" spans="2:46" s="190" customFormat="1" ht="24.9" customHeight="1" x14ac:dyDescent="0.25">
      <c r="B420" s="206"/>
      <c r="C420" s="207" t="str">
        <f>IF($C$1="ENG","Premium","Premium")</f>
        <v>Premium</v>
      </c>
      <c r="D420" s="208">
        <f>IF(AC420="","",(1-$W$2)*(AC420/1.2))</f>
        <v>8041.666666666667</v>
      </c>
      <c r="E420" s="209">
        <f>IF($W$5=0.2,D420*1.2,D420)/$W$4</f>
        <v>9650</v>
      </c>
      <c r="F420" s="208">
        <f>IF(AD420="","",(1-$W$2)*(AD420/1.2))</f>
        <v>8025</v>
      </c>
      <c r="G420" s="209">
        <f>IF($W$5=0.2,F420*1.2,F420)/$W$4</f>
        <v>9630</v>
      </c>
      <c r="H420" s="208"/>
      <c r="I420" s="210"/>
      <c r="J420" s="208"/>
      <c r="K420" s="210"/>
      <c r="L420" s="208"/>
      <c r="M420" s="210"/>
      <c r="N420" s="208"/>
      <c r="O420" s="210"/>
      <c r="P420" s="208"/>
      <c r="Q420" s="210"/>
      <c r="R420" s="208"/>
      <c r="S420" s="210"/>
      <c r="T420" s="208"/>
      <c r="U420" s="210"/>
      <c r="V420" s="208"/>
      <c r="W420" s="210"/>
      <c r="X420" s="191"/>
      <c r="AB420" s="195" t="str">
        <f>C420</f>
        <v>Premium</v>
      </c>
      <c r="AC420" s="219">
        <v>9650</v>
      </c>
      <c r="AD420" s="219">
        <v>9630</v>
      </c>
      <c r="AE420" s="219"/>
      <c r="AF420" s="219"/>
      <c r="AG420" s="219"/>
      <c r="AH420" s="219"/>
      <c r="AN420" s="192"/>
      <c r="AO420" s="192"/>
      <c r="AP420" s="192"/>
      <c r="AQ420" s="192"/>
      <c r="AR420" s="192"/>
      <c r="AS420" s="192"/>
      <c r="AT420" s="192"/>
    </row>
    <row r="421" spans="2:46" x14ac:dyDescent="0.25">
      <c r="B421" s="187"/>
      <c r="C421" s="1"/>
      <c r="D421" s="186"/>
      <c r="E421" s="186"/>
      <c r="F421" s="186"/>
      <c r="G421" s="186"/>
      <c r="H421" s="186"/>
      <c r="I421" s="186"/>
      <c r="J421" s="186"/>
      <c r="K421" s="186"/>
      <c r="L421" s="186"/>
      <c r="M421" s="200"/>
      <c r="N421" s="186"/>
      <c r="O421" s="186"/>
      <c r="P421" s="186"/>
      <c r="Q421" s="186"/>
      <c r="R421" s="186"/>
      <c r="S421" s="186"/>
      <c r="T421" s="186"/>
      <c r="U421" s="186"/>
      <c r="V421" s="186"/>
      <c r="W421" s="186"/>
      <c r="X421" s="186"/>
    </row>
    <row r="422" spans="2:46" x14ac:dyDescent="0.25">
      <c r="B422" s="211" t="str">
        <f>IF($C$1="ENG","For additonal charge:","Послуги за додаткову плату:")</f>
        <v>Послуги за додаткову плату:</v>
      </c>
      <c r="C422" s="212"/>
      <c r="D422" s="213"/>
      <c r="E422" s="214" t="str">
        <f>CONCATENATE(B415," ",C415)</f>
        <v>ЦІНА з ПДВ</v>
      </c>
      <c r="F422" s="215"/>
      <c r="G422" s="215"/>
      <c r="H422" s="215"/>
      <c r="I422" s="215"/>
      <c r="J422" s="215"/>
      <c r="K422" s="215"/>
      <c r="L422" s="215"/>
      <c r="M422" s="215"/>
      <c r="N422" s="215"/>
      <c r="O422" s="215"/>
      <c r="P422" s="215"/>
      <c r="Q422" s="215"/>
      <c r="R422" s="215"/>
      <c r="S422" s="215"/>
      <c r="T422" s="215"/>
      <c r="U422" s="215"/>
      <c r="V422" s="215"/>
      <c r="W422" s="215"/>
      <c r="X422" s="186"/>
    </row>
    <row r="423" spans="2:46" x14ac:dyDescent="0.25">
      <c r="B423" s="187"/>
      <c r="C423" s="1"/>
      <c r="D423" s="186"/>
      <c r="E423" s="186"/>
      <c r="F423" s="186"/>
      <c r="G423" s="186"/>
      <c r="H423" s="186"/>
      <c r="I423" s="186"/>
      <c r="J423" s="186"/>
      <c r="K423" s="186"/>
      <c r="L423" s="186"/>
      <c r="M423" s="186"/>
      <c r="N423" s="186"/>
      <c r="O423" s="186"/>
      <c r="P423" s="186"/>
      <c r="Q423" s="186"/>
      <c r="R423" s="186"/>
      <c r="S423" s="186"/>
      <c r="T423" s="186"/>
      <c r="U423" s="186"/>
      <c r="V423" s="186"/>
      <c r="W423" s="186"/>
      <c r="X423" s="186"/>
    </row>
    <row r="424" spans="2:46" ht="15" customHeight="1" x14ac:dyDescent="0.25">
      <c r="B424" s="224"/>
      <c r="C424" s="223" t="str">
        <f>IF($C$1="ENG","door leaf with width 100","полотно розміром 100")</f>
        <v>полотно розміром 100</v>
      </c>
      <c r="D424" s="236">
        <f>IF(AC424="","",(1-$W$2)*(AC424/1.2))</f>
        <v>691.66666666666674</v>
      </c>
      <c r="E424" s="227">
        <f>IF($W$5=0.2,D424*1.2,D424)/$W$4</f>
        <v>830.00000000000011</v>
      </c>
      <c r="F424" s="191"/>
      <c r="G424" s="229"/>
      <c r="H424" s="224"/>
      <c r="I424" s="223" t="str">
        <f>IF($C$1="ENG","door lock Soft","замок Soft")</f>
        <v>замок Soft</v>
      </c>
      <c r="J424" s="238">
        <f>IF(AF424="","",(1-$W$2)*(AF424/1.2))</f>
        <v>525</v>
      </c>
      <c r="K424" s="227">
        <f>IF($W$5=0.2,J424*1.2,J424)/$W$4</f>
        <v>630</v>
      </c>
      <c r="L424" s="191"/>
      <c r="M424" s="229"/>
      <c r="N424" s="224"/>
      <c r="O424" s="223" t="str">
        <f>IF($C$1="ENG","cylinder incert","циліндр несиметричний")</f>
        <v>циліндр несиметричний</v>
      </c>
      <c r="P424" s="236">
        <f>IF(AI424="","",(1-$W$2)*(AI424/1.2))</f>
        <v>375</v>
      </c>
      <c r="Q424" s="227">
        <f>IF($W$5=0.2,P424*1.2,P424)/$W$4</f>
        <v>450</v>
      </c>
      <c r="R424" s="186"/>
      <c r="S424" s="186"/>
      <c r="T424" s="186"/>
      <c r="U424" s="186"/>
      <c r="V424" s="186"/>
      <c r="W424" s="186"/>
      <c r="X424" s="186"/>
      <c r="AC424" s="218">
        <v>830</v>
      </c>
      <c r="AF424" s="218">
        <v>630</v>
      </c>
      <c r="AI424" s="218">
        <v>450</v>
      </c>
    </row>
    <row r="425" spans="2:46" ht="15" customHeight="1" x14ac:dyDescent="0.25">
      <c r="B425" s="225"/>
      <c r="C425" s="222" t="str">
        <f>IF($C$1="ENG","Ventilation cut","вентиляційний підріз")</f>
        <v>вентиляційний підріз</v>
      </c>
      <c r="D425" s="237">
        <f>IF(AC425="","",(1-$W$2)*(AC425/1.2))</f>
        <v>162.5</v>
      </c>
      <c r="E425" s="228">
        <f>IF($W$5=0.2,D425*1.2,D425)/$W$4</f>
        <v>195</v>
      </c>
      <c r="F425" s="191"/>
      <c r="G425" s="230"/>
      <c r="H425" s="225"/>
      <c r="I425" s="222" t="str">
        <f>IF($C$1="ENG","door lock Soft black","замок Soft чорн.")</f>
        <v>замок Soft чорн.</v>
      </c>
      <c r="J425" s="239">
        <f>IF(AF425="","",(1-$W$2)*(AF425/1.2))</f>
        <v>650</v>
      </c>
      <c r="K425" s="228">
        <f>IF($W$5=0.2,J425*1.2,J425)/$W$4</f>
        <v>780</v>
      </c>
      <c r="L425" s="191"/>
      <c r="M425" s="230"/>
      <c r="N425" s="225"/>
      <c r="O425" s="222" t="str">
        <f>IF($C$1="ENG","door hindge Prestige (1 unit)","завіса Prestige (1 шт)")</f>
        <v>завіса Prestige (1 шт)</v>
      </c>
      <c r="P425" s="240">
        <f>IF(AI425="","",(1-$W$2)*(AI425/1.2))</f>
        <v>250</v>
      </c>
      <c r="Q425" s="228">
        <f>IF($W$5=0.2,P425*1.2,P425)/$W$4</f>
        <v>300</v>
      </c>
      <c r="R425" s="186"/>
      <c r="S425" s="186"/>
      <c r="T425" s="186"/>
      <c r="U425" s="186"/>
      <c r="V425" s="186"/>
      <c r="W425" s="186"/>
      <c r="X425" s="186"/>
      <c r="AC425" s="218">
        <v>195</v>
      </c>
      <c r="AF425" s="218">
        <v>780</v>
      </c>
      <c r="AI425" s="218">
        <v>300</v>
      </c>
    </row>
    <row r="426" spans="2:46" ht="15" customHeight="1" x14ac:dyDescent="0.25">
      <c r="B426" s="225"/>
      <c r="C426" s="222" t="str">
        <f>IF($C$1="ENG","glazing Graphite / Bronze","скло Графіт / Бронза")</f>
        <v>скло Графіт / Бронза</v>
      </c>
      <c r="D426" s="237">
        <f>IF(AC426="","",(1-$W$2)*(AC426/1.2))</f>
        <v>525</v>
      </c>
      <c r="E426" s="228">
        <f>IF($W$5=0.2,D426*1.2,D426)/$W$4</f>
        <v>630</v>
      </c>
      <c r="F426" s="191"/>
      <c r="G426" s="230"/>
      <c r="H426" s="225"/>
      <c r="I426" s="222" t="str">
        <f>IF($C$1="ENG","door lock Magnet","замок Magnet")</f>
        <v>замок Magnet</v>
      </c>
      <c r="J426" s="239">
        <f>IF(AF426="","",(1-$W$2)*(AF426/1.2))</f>
        <v>766.66666666666674</v>
      </c>
      <c r="K426" s="228">
        <f>IF($W$5=0.2,J426*1.2,J426)/$W$4</f>
        <v>920.00000000000011</v>
      </c>
      <c r="L426" s="191"/>
      <c r="M426" s="230"/>
      <c r="N426" s="225"/>
      <c r="O426" s="222" t="str">
        <f>IF($C$1="ENG","door hinge caps (1 set)","накладка на завіси (1 к-т)")</f>
        <v>накладка на завіси (1 к-т)</v>
      </c>
      <c r="P426" s="240">
        <f>IF(AI426="","",(1-$W$2)*(AI426/1.2))</f>
        <v>75</v>
      </c>
      <c r="Q426" s="228">
        <f>IF($W$5=0.2,P426*1.2,P426)/$W$4</f>
        <v>90</v>
      </c>
      <c r="R426" s="186"/>
      <c r="S426" s="186"/>
      <c r="T426" s="186"/>
      <c r="U426" s="186"/>
      <c r="V426" s="186"/>
      <c r="W426" s="186"/>
      <c r="X426" s="186"/>
      <c r="AC426" s="218">
        <v>630</v>
      </c>
      <c r="AF426" s="218">
        <v>920</v>
      </c>
      <c r="AI426" s="218">
        <v>90</v>
      </c>
    </row>
    <row r="427" spans="2:46" s="8" customFormat="1" ht="15" customHeight="1" x14ac:dyDescent="0.25">
      <c r="B427" s="225"/>
      <c r="C427" s="222" t="str">
        <f>IF($C$1="ENG","glazing Lacobel black ","скло Lacobel чорне")</f>
        <v>скло Lacobel чорне</v>
      </c>
      <c r="D427" s="237">
        <f>IF(AC427="","",(1-$W$2)*(AC427/1.2))</f>
        <v>525</v>
      </c>
      <c r="E427" s="228">
        <f>IF($W$5=0.2,D427*1.2,D427)/$W$4</f>
        <v>630</v>
      </c>
      <c r="F427" s="184"/>
      <c r="G427" s="231"/>
      <c r="H427" s="226"/>
      <c r="I427" s="222" t="str">
        <f>IF($C$1="ENG","door lock Magnet black","замок Magnet чорн.")</f>
        <v>замок Magnet чорн.</v>
      </c>
      <c r="J427" s="239">
        <f>IF(AF427="","",(1-$W$2)*(AF427/1.2))</f>
        <v>958.33333333333337</v>
      </c>
      <c r="K427" s="228">
        <f>IF($W$5=0.2,J427*1.2,J427)/$W$4</f>
        <v>1150</v>
      </c>
      <c r="L427" s="220"/>
      <c r="M427" s="233"/>
      <c r="N427" s="226"/>
      <c r="O427" s="222" t="str">
        <f>IF($C$1="ENG","door handle","дверна ручка")</f>
        <v>дверна ручка</v>
      </c>
      <c r="P427" s="237">
        <f>IF(AI427="","",(1-$W$2)*(AI427/1.2))</f>
        <v>0</v>
      </c>
      <c r="Q427" s="235" t="str">
        <f>IF($C$1="ENG","see Handles Price","див. Таблицю Ручки")</f>
        <v>див. Таблицю Ручки</v>
      </c>
      <c r="AC427" s="218">
        <v>630</v>
      </c>
      <c r="AF427" s="218">
        <v>1150</v>
      </c>
      <c r="AI427" s="218">
        <v>0</v>
      </c>
      <c r="AN427" s="123"/>
      <c r="AO427" s="123"/>
      <c r="AP427" s="123"/>
      <c r="AQ427" s="123"/>
      <c r="AR427" s="123"/>
      <c r="AS427" s="123"/>
      <c r="AT427" s="123"/>
    </row>
    <row r="428" spans="2:46" ht="15" customHeight="1" x14ac:dyDescent="0.25">
      <c r="C428" s="1"/>
      <c r="F428" s="221"/>
      <c r="G428" s="232"/>
      <c r="H428" s="225"/>
      <c r="I428" s="222" t="str">
        <f>IF($C$1="ENG","door handle-lock (for sliding doors)","ручка-замок (для дверей купе)")</f>
        <v>ручка-замок (для дверей купе)</v>
      </c>
      <c r="J428" s="237">
        <f>IF(AF428="","",(1-$W$2)*(AF428/1.2))</f>
        <v>533.33333333333337</v>
      </c>
      <c r="K428" s="228">
        <f>IF($W$5=0.2,J428*1.2,J428)/$W$4</f>
        <v>640</v>
      </c>
      <c r="L428" s="190"/>
      <c r="AF428" s="218">
        <v>640</v>
      </c>
      <c r="AI428" s="8"/>
      <c r="AN428" s="1"/>
    </row>
    <row r="429" spans="2:46" x14ac:dyDescent="0.25">
      <c r="C429" s="1"/>
      <c r="F429" s="21"/>
      <c r="G429" s="21"/>
      <c r="H429" s="10"/>
      <c r="I429" s="33"/>
      <c r="J429" s="33"/>
      <c r="K429" s="33"/>
      <c r="S429" s="132"/>
      <c r="T429" s="183"/>
      <c r="U429" s="183"/>
      <c r="V429" s="183"/>
      <c r="W429" s="183"/>
    </row>
    <row r="430" spans="2:46" x14ac:dyDescent="0.25">
      <c r="C430" s="110"/>
      <c r="D430" s="21"/>
      <c r="E430" s="21"/>
      <c r="F430" s="21"/>
      <c r="G430" s="21"/>
      <c r="H430" s="5"/>
    </row>
    <row r="431" spans="2:46" x14ac:dyDescent="0.25">
      <c r="C431" s="110"/>
      <c r="D431" s="21"/>
      <c r="E431" s="21"/>
      <c r="F431" s="21"/>
      <c r="G431" s="21"/>
      <c r="H431" s="5"/>
    </row>
    <row r="432" spans="2:46" x14ac:dyDescent="0.25">
      <c r="C432" s="110"/>
      <c r="D432" s="21"/>
      <c r="E432" s="21"/>
      <c r="F432" s="21"/>
      <c r="G432" s="21"/>
      <c r="H432" s="5"/>
    </row>
    <row r="433" spans="2:46" s="8" customFormat="1" ht="24.9" customHeight="1" x14ac:dyDescent="0.25">
      <c r="B433" s="246" t="str">
        <f>TITLE!C22</f>
        <v>Полотна збірні: NIKA</v>
      </c>
      <c r="C433" s="244"/>
      <c r="D433" s="245"/>
      <c r="E433" s="245"/>
      <c r="F433" s="216"/>
      <c r="G433" s="216"/>
      <c r="H433" s="216"/>
      <c r="I433" s="217"/>
      <c r="J433" s="217"/>
      <c r="K433" s="217"/>
      <c r="L433" s="217"/>
      <c r="M433" s="217"/>
      <c r="N433" s="217"/>
      <c r="O433" s="217"/>
      <c r="P433" s="217"/>
      <c r="Q433" s="217"/>
      <c r="R433" s="217"/>
      <c r="S433" s="217"/>
      <c r="T433" s="217"/>
      <c r="U433" s="217"/>
      <c r="V433" s="217"/>
      <c r="W433" s="217"/>
      <c r="X433" s="185"/>
      <c r="AN433" s="123"/>
      <c r="AO433" s="123"/>
      <c r="AP433" s="123"/>
      <c r="AQ433" s="123"/>
      <c r="AR433" s="123"/>
      <c r="AS433" s="123"/>
      <c r="AT433" s="123"/>
    </row>
    <row r="434" spans="2:46" s="8" customFormat="1" x14ac:dyDescent="0.25">
      <c r="B434" s="83"/>
      <c r="C434" s="162"/>
      <c r="D434" s="247"/>
      <c r="E434" s="247"/>
      <c r="F434" s="247"/>
      <c r="G434" s="247"/>
      <c r="H434" s="10"/>
      <c r="I434" s="264"/>
      <c r="T434" s="90"/>
      <c r="U434" s="90"/>
      <c r="V434" s="90"/>
      <c r="W434" s="90"/>
      <c r="AN434" s="123"/>
      <c r="AO434" s="123"/>
      <c r="AP434" s="123"/>
      <c r="AQ434" s="123"/>
      <c r="AR434" s="123"/>
      <c r="AS434" s="123"/>
      <c r="AT434" s="123"/>
    </row>
    <row r="435" spans="2:46" x14ac:dyDescent="0.25">
      <c r="B435" s="186"/>
      <c r="C435" s="193" t="str">
        <f>IF($C$1="ENG","model:","модель:")</f>
        <v>модель:</v>
      </c>
      <c r="D435" s="186"/>
      <c r="E435" s="196" t="s">
        <v>37</v>
      </c>
      <c r="F435" s="188"/>
      <c r="G435" s="196" t="s">
        <v>38</v>
      </c>
      <c r="H435" s="188"/>
      <c r="I435" s="248"/>
      <c r="J435" s="188"/>
      <c r="K435" s="248"/>
      <c r="L435" s="188"/>
      <c r="M435" s="248"/>
      <c r="N435" s="188"/>
      <c r="O435" s="248"/>
      <c r="P435" s="186"/>
      <c r="Q435" s="186"/>
      <c r="R435" s="186"/>
      <c r="S435" s="186"/>
      <c r="T435" s="186"/>
      <c r="U435" s="186"/>
      <c r="V435" s="186"/>
      <c r="W435" s="186"/>
      <c r="X435" s="186"/>
    </row>
    <row r="436" spans="2:46" x14ac:dyDescent="0.25">
      <c r="B436" s="186"/>
      <c r="C436" s="187"/>
      <c r="D436" s="186"/>
      <c r="E436" s="197"/>
      <c r="F436" s="186"/>
      <c r="G436" s="197"/>
      <c r="H436" s="186"/>
      <c r="I436" s="200"/>
      <c r="J436" s="186"/>
      <c r="K436" s="200"/>
      <c r="L436" s="186"/>
      <c r="M436" s="200"/>
      <c r="N436" s="186"/>
      <c r="O436" s="200"/>
      <c r="P436" s="186"/>
      <c r="Q436" s="186"/>
      <c r="R436" s="186"/>
      <c r="S436" s="186"/>
      <c r="T436" s="186"/>
      <c r="U436" s="186"/>
      <c r="V436" s="186"/>
      <c r="W436" s="186"/>
      <c r="X436" s="186"/>
    </row>
    <row r="437" spans="2:46" x14ac:dyDescent="0.25">
      <c r="B437" s="186"/>
      <c r="C437" s="187"/>
      <c r="D437" s="186"/>
      <c r="E437" s="197"/>
      <c r="F437" s="186"/>
      <c r="G437" s="197"/>
      <c r="H437" s="186"/>
      <c r="I437" s="200"/>
      <c r="J437" s="186"/>
      <c r="K437" s="200"/>
      <c r="L437" s="186"/>
      <c r="M437" s="200"/>
      <c r="N437" s="186"/>
      <c r="O437" s="200"/>
      <c r="P437" s="186"/>
      <c r="Q437" s="186"/>
      <c r="R437" s="186"/>
      <c r="S437" s="186"/>
      <c r="T437" s="186"/>
      <c r="U437" s="186"/>
      <c r="V437" s="186"/>
      <c r="W437" s="186"/>
      <c r="X437" s="186"/>
    </row>
    <row r="438" spans="2:46" x14ac:dyDescent="0.25">
      <c r="B438" s="186"/>
      <c r="C438" s="187"/>
      <c r="D438" s="186"/>
      <c r="E438" s="197"/>
      <c r="F438" s="186"/>
      <c r="G438" s="197"/>
      <c r="H438" s="186"/>
      <c r="I438" s="200"/>
      <c r="J438" s="186"/>
      <c r="K438" s="200"/>
      <c r="L438" s="186"/>
      <c r="M438" s="200"/>
      <c r="N438" s="186"/>
      <c r="O438" s="200"/>
      <c r="P438" s="186"/>
      <c r="Q438" s="186"/>
      <c r="R438" s="186"/>
      <c r="S438" s="186"/>
      <c r="T438" s="186"/>
      <c r="U438" s="186"/>
      <c r="V438" s="186"/>
      <c r="W438" s="186"/>
      <c r="X438" s="186"/>
    </row>
    <row r="439" spans="2:46" x14ac:dyDescent="0.25">
      <c r="B439" s="186"/>
      <c r="C439" s="187"/>
      <c r="D439" s="186"/>
      <c r="E439" s="197"/>
      <c r="F439" s="186"/>
      <c r="G439" s="197"/>
      <c r="H439" s="186"/>
      <c r="I439" s="200"/>
      <c r="J439" s="186"/>
      <c r="K439" s="200"/>
      <c r="L439" s="186"/>
      <c r="M439" s="200"/>
      <c r="N439" s="186"/>
      <c r="O439" s="200"/>
      <c r="P439" s="186"/>
      <c r="Q439" s="186"/>
      <c r="R439" s="186"/>
      <c r="S439" s="186"/>
      <c r="T439" s="186"/>
      <c r="U439" s="186"/>
      <c r="V439" s="186"/>
      <c r="W439" s="186"/>
      <c r="X439" s="186"/>
    </row>
    <row r="440" spans="2:46" x14ac:dyDescent="0.25">
      <c r="B440" s="186"/>
      <c r="C440" s="187"/>
      <c r="D440" s="186"/>
      <c r="E440" s="197"/>
      <c r="F440" s="186"/>
      <c r="G440" s="197"/>
      <c r="H440" s="186"/>
      <c r="I440" s="200"/>
      <c r="J440" s="186"/>
      <c r="K440" s="200"/>
      <c r="L440" s="186"/>
      <c r="M440" s="200"/>
      <c r="N440" s="186"/>
      <c r="O440" s="200"/>
      <c r="P440" s="186"/>
      <c r="Q440" s="186"/>
      <c r="R440" s="186"/>
      <c r="S440" s="186"/>
      <c r="T440" s="186"/>
      <c r="U440" s="186"/>
      <c r="V440" s="186"/>
      <c r="W440" s="186"/>
      <c r="X440" s="186"/>
    </row>
    <row r="441" spans="2:46" x14ac:dyDescent="0.25">
      <c r="B441" s="186"/>
      <c r="C441" s="187"/>
      <c r="D441" s="186"/>
      <c r="E441" s="197"/>
      <c r="F441" s="186"/>
      <c r="G441" s="197"/>
      <c r="H441" s="186"/>
      <c r="I441" s="200"/>
      <c r="J441" s="186"/>
      <c r="K441" s="200"/>
      <c r="L441" s="186"/>
      <c r="M441" s="200"/>
      <c r="N441" s="186"/>
      <c r="O441" s="200"/>
      <c r="P441" s="186"/>
      <c r="Q441" s="186"/>
      <c r="R441" s="186"/>
      <c r="S441" s="186"/>
      <c r="T441" s="186"/>
      <c r="U441" s="186"/>
      <c r="V441" s="186"/>
      <c r="W441" s="186"/>
      <c r="X441" s="186"/>
    </row>
    <row r="442" spans="2:46" x14ac:dyDescent="0.25">
      <c r="B442" s="186"/>
      <c r="C442" s="187"/>
      <c r="D442" s="186"/>
      <c r="E442" s="197"/>
      <c r="F442" s="186"/>
      <c r="G442" s="197"/>
      <c r="H442" s="186"/>
      <c r="I442" s="200"/>
      <c r="J442" s="186"/>
      <c r="K442" s="200"/>
      <c r="L442" s="186"/>
      <c r="M442" s="200"/>
      <c r="N442" s="186"/>
      <c r="O442" s="200"/>
      <c r="P442" s="186"/>
      <c r="Q442" s="186"/>
      <c r="R442" s="186"/>
      <c r="S442" s="186"/>
      <c r="T442" s="186"/>
      <c r="U442" s="186"/>
      <c r="V442" s="186"/>
      <c r="W442" s="186"/>
      <c r="X442" s="186"/>
    </row>
    <row r="443" spans="2:46" x14ac:dyDescent="0.25">
      <c r="B443" s="186"/>
      <c r="C443" s="1"/>
      <c r="D443" s="186"/>
      <c r="E443" s="197"/>
      <c r="F443" s="186"/>
      <c r="G443" s="197"/>
      <c r="H443" s="186"/>
      <c r="I443" s="200"/>
      <c r="J443" s="186"/>
      <c r="K443" s="200"/>
      <c r="L443" s="186"/>
      <c r="M443" s="200"/>
      <c r="N443" s="186"/>
      <c r="O443" s="200"/>
      <c r="P443" s="186"/>
      <c r="Q443" s="186"/>
      <c r="R443" s="186"/>
      <c r="S443" s="186"/>
      <c r="T443" s="186"/>
      <c r="U443" s="186"/>
      <c r="V443" s="186"/>
      <c r="W443" s="186"/>
      <c r="X443" s="186"/>
    </row>
    <row r="444" spans="2:46" x14ac:dyDescent="0.25">
      <c r="B444" s="186"/>
      <c r="C444" s="187" t="str">
        <f>IF($C$1="ENG","filling:","заповнення:")</f>
        <v>заповнення:</v>
      </c>
      <c r="D444" s="186"/>
      <c r="E444" s="198" t="str">
        <f>IF($C$1="ENG","softwood","клеєний брус")</f>
        <v>клеєний брус</v>
      </c>
      <c r="F444" s="189"/>
      <c r="G444" s="198" t="str">
        <f>IF($C$1="ENG","softwood","клеєний брус")</f>
        <v>клеєний брус</v>
      </c>
      <c r="H444" s="189"/>
      <c r="I444" s="249"/>
      <c r="J444" s="189"/>
      <c r="K444" s="249"/>
      <c r="L444" s="189"/>
      <c r="M444" s="249"/>
      <c r="N444" s="189"/>
      <c r="O444" s="249"/>
      <c r="P444" s="186"/>
      <c r="Q444" s="186"/>
      <c r="R444" s="186"/>
      <c r="S444" s="186"/>
      <c r="T444" s="186"/>
      <c r="U444" s="186"/>
      <c r="V444" s="186"/>
      <c r="W444" s="186"/>
      <c r="X444" s="186"/>
    </row>
    <row r="445" spans="2:46" x14ac:dyDescent="0.25">
      <c r="B445" s="186"/>
      <c r="C445" s="187" t="str">
        <f>IF($C$1="ENG","glazing:","скління:")</f>
        <v>скління:</v>
      </c>
      <c r="D445" s="186"/>
      <c r="E445" s="198" t="str">
        <f>IF($C$1="ENG","Satin","Сатин")</f>
        <v>Сатин</v>
      </c>
      <c r="F445" s="189"/>
      <c r="G445" s="198" t="str">
        <f>IF($C$1="ENG","Satin","Сатин")</f>
        <v>Сатин</v>
      </c>
      <c r="H445" s="189"/>
      <c r="I445" s="249"/>
      <c r="J445" s="189"/>
      <c r="K445" s="249"/>
      <c r="L445" s="189"/>
      <c r="M445" s="249"/>
      <c r="N445" s="189"/>
      <c r="O445" s="249"/>
      <c r="P445" s="186"/>
      <c r="Q445" s="186"/>
      <c r="R445" s="186"/>
      <c r="S445" s="186"/>
      <c r="T445" s="186"/>
      <c r="U445" s="186"/>
      <c r="V445" s="186"/>
      <c r="W445" s="186"/>
      <c r="X445" s="186"/>
    </row>
    <row r="446" spans="2:46" x14ac:dyDescent="0.25">
      <c r="D446" s="199"/>
      <c r="E446" s="197"/>
      <c r="F446" s="200"/>
      <c r="G446" s="197"/>
      <c r="H446" s="200"/>
      <c r="I446" s="200"/>
      <c r="J446" s="200"/>
      <c r="K446" s="200"/>
      <c r="L446" s="200"/>
      <c r="M446" s="200"/>
      <c r="N446" s="200"/>
      <c r="O446" s="200"/>
      <c r="P446" s="200"/>
      <c r="Q446" s="200"/>
      <c r="R446" s="200"/>
      <c r="S446" s="200"/>
      <c r="T446" s="200"/>
      <c r="U446" s="200"/>
      <c r="V446" s="200"/>
      <c r="W446" s="200"/>
      <c r="X446" s="186"/>
    </row>
    <row r="447" spans="2:46" s="190" customFormat="1" ht="15" customHeight="1" x14ac:dyDescent="0.25">
      <c r="B447" s="241" t="str">
        <f>IF($C$1="ENG","PRICE","ЦІНА")</f>
        <v>ЦІНА</v>
      </c>
      <c r="C447" s="242" t="str">
        <f>IF($C$1="ENG",IF($W$5=0.2,"with VAT","no VAT"),IF($W$5=0.2,"з ПДВ","без ПДВ"))</f>
        <v>з ПДВ</v>
      </c>
      <c r="D447" s="191"/>
      <c r="E447" s="243"/>
      <c r="F447" s="191"/>
      <c r="G447" s="243"/>
      <c r="H447" s="191"/>
      <c r="I447" s="194"/>
      <c r="J447" s="191"/>
      <c r="K447" s="194"/>
      <c r="L447" s="191"/>
      <c r="M447" s="194"/>
      <c r="N447" s="191"/>
      <c r="O447" s="194"/>
      <c r="P447" s="191"/>
      <c r="Q447" s="191"/>
      <c r="R447" s="191"/>
      <c r="S447" s="191"/>
      <c r="T447" s="191"/>
      <c r="U447" s="191"/>
      <c r="V447" s="191"/>
      <c r="W447" s="191"/>
      <c r="X447" s="191"/>
      <c r="AN447" s="192"/>
      <c r="AO447" s="192"/>
      <c r="AP447" s="192"/>
      <c r="AQ447" s="192"/>
      <c r="AR447" s="192"/>
      <c r="AS447" s="192"/>
      <c r="AT447" s="192"/>
    </row>
    <row r="448" spans="2:46" s="190" customFormat="1" ht="24.9" customHeight="1" x14ac:dyDescent="0.25">
      <c r="B448" s="201" t="str">
        <f>IF($C$1="ENG","Cover:","Покриття:")</f>
        <v>Покриття:</v>
      </c>
      <c r="C448" s="202" t="str">
        <f>IF($C$1="ENG","Verto-CELL","Verto-CELL")</f>
        <v>Verto-CELL</v>
      </c>
      <c r="D448" s="203">
        <f>IF(AC448="","",(1-$W$2)*(AC448/1.2))</f>
        <v>5766.666666666667</v>
      </c>
      <c r="E448" s="204">
        <f>IF($W$5=0.2,D448*1.2,D448)/$W$4</f>
        <v>6920</v>
      </c>
      <c r="F448" s="203">
        <f>IF(AD448="","",(1-$W$2)*(AD448/1.2))</f>
        <v>5766.666666666667</v>
      </c>
      <c r="G448" s="204">
        <f>IF($W$5=0.2,F448*1.2,F448)/$W$4</f>
        <v>6920</v>
      </c>
      <c r="H448" s="203"/>
      <c r="I448" s="205"/>
      <c r="J448" s="203"/>
      <c r="K448" s="205"/>
      <c r="L448" s="203"/>
      <c r="M448" s="205"/>
      <c r="N448" s="203"/>
      <c r="O448" s="205"/>
      <c r="P448" s="203"/>
      <c r="Q448" s="205"/>
      <c r="R448" s="203"/>
      <c r="S448" s="205"/>
      <c r="T448" s="203"/>
      <c r="U448" s="205"/>
      <c r="V448" s="203"/>
      <c r="W448" s="205"/>
      <c r="X448" s="191"/>
      <c r="AB448" s="195" t="str">
        <f>C448</f>
        <v>Verto-CELL</v>
      </c>
      <c r="AC448" s="219">
        <v>6920</v>
      </c>
      <c r="AD448" s="219">
        <v>6920</v>
      </c>
      <c r="AE448" s="219"/>
      <c r="AF448" s="219"/>
      <c r="AG448" s="219"/>
      <c r="AH448" s="219"/>
      <c r="AN448" s="192"/>
      <c r="AO448" s="192"/>
      <c r="AP448" s="192"/>
      <c r="AQ448" s="192"/>
      <c r="AR448" s="192"/>
      <c r="AS448" s="192"/>
      <c r="AT448" s="192"/>
    </row>
    <row r="449" spans="2:46" s="190" customFormat="1" ht="24.9" customHeight="1" x14ac:dyDescent="0.25">
      <c r="B449" s="254"/>
      <c r="C449" s="255" t="str">
        <f>IF($C$1="ENG","UNI-MAT","UNI-MAT")</f>
        <v>UNI-MAT</v>
      </c>
      <c r="D449" s="256">
        <f>IF(AC449="","",(1-$W$2)*(AC449/1.2))</f>
        <v>6566.666666666667</v>
      </c>
      <c r="E449" s="257">
        <f>IF($W$5=0.2,D449*1.2,D449)/$W$4</f>
        <v>7880</v>
      </c>
      <c r="F449" s="256">
        <f>IF(AD449="","",(1-$W$2)*(AD449/1.2))</f>
        <v>6566.666666666667</v>
      </c>
      <c r="G449" s="257">
        <f>IF($W$5=0.2,F449*1.2,F449)/$W$4</f>
        <v>7880</v>
      </c>
      <c r="H449" s="256"/>
      <c r="I449" s="258"/>
      <c r="J449" s="256"/>
      <c r="K449" s="258"/>
      <c r="L449" s="256"/>
      <c r="M449" s="258"/>
      <c r="N449" s="256"/>
      <c r="O449" s="258"/>
      <c r="P449" s="256"/>
      <c r="Q449" s="258"/>
      <c r="R449" s="256"/>
      <c r="S449" s="258"/>
      <c r="T449" s="256"/>
      <c r="U449" s="258"/>
      <c r="V449" s="256"/>
      <c r="W449" s="258"/>
      <c r="X449" s="191"/>
      <c r="AB449" s="195" t="str">
        <f>C449</f>
        <v>UNI-MAT</v>
      </c>
      <c r="AC449" s="219">
        <v>7880</v>
      </c>
      <c r="AD449" s="219">
        <v>7880</v>
      </c>
      <c r="AE449" s="219"/>
      <c r="AF449" s="219"/>
      <c r="AG449" s="219"/>
      <c r="AH449" s="219"/>
      <c r="AN449" s="192"/>
      <c r="AO449" s="192"/>
      <c r="AP449" s="192"/>
      <c r="AQ449" s="192"/>
      <c r="AR449" s="192"/>
      <c r="AS449" s="192"/>
      <c r="AT449" s="192"/>
    </row>
    <row r="450" spans="2:46" s="190" customFormat="1" ht="24.9" customHeight="1" x14ac:dyDescent="0.25">
      <c r="B450" s="254"/>
      <c r="C450" s="255" t="str">
        <f>IF($C$1="ENG","RESIST","RESIST")</f>
        <v>RESIST</v>
      </c>
      <c r="D450" s="256">
        <f>IF(AC450="","",(1-$W$2)*(AC450/1.2))</f>
        <v>6775</v>
      </c>
      <c r="E450" s="257">
        <f>IF($W$5=0.2,D450*1.2,D450)/$W$4</f>
        <v>8130</v>
      </c>
      <c r="F450" s="256">
        <f>IF(AD450="","",(1-$W$2)*(AD450/1.2))</f>
        <v>6775</v>
      </c>
      <c r="G450" s="257">
        <f>IF($W$5=0.2,F450*1.2,F450)/$W$4</f>
        <v>8130</v>
      </c>
      <c r="H450" s="256"/>
      <c r="I450" s="258"/>
      <c r="J450" s="256"/>
      <c r="K450" s="258"/>
      <c r="L450" s="256"/>
      <c r="M450" s="258"/>
      <c r="N450" s="256"/>
      <c r="O450" s="258"/>
      <c r="P450" s="256"/>
      <c r="Q450" s="258"/>
      <c r="R450" s="256"/>
      <c r="S450" s="258"/>
      <c r="T450" s="256"/>
      <c r="U450" s="258"/>
      <c r="V450" s="256"/>
      <c r="W450" s="258"/>
      <c r="X450" s="191"/>
      <c r="AB450" s="195" t="str">
        <f>C450</f>
        <v>RESIST</v>
      </c>
      <c r="AC450" s="219">
        <v>8130</v>
      </c>
      <c r="AD450" s="219">
        <v>8130</v>
      </c>
      <c r="AE450" s="219"/>
      <c r="AF450" s="219"/>
      <c r="AG450" s="219"/>
      <c r="AH450" s="219"/>
      <c r="AN450" s="192"/>
      <c r="AO450" s="192"/>
      <c r="AP450" s="192"/>
      <c r="AQ450" s="192"/>
      <c r="AR450" s="192"/>
      <c r="AS450" s="192"/>
      <c r="AT450" s="192"/>
    </row>
    <row r="451" spans="2:46" s="190" customFormat="1" ht="24.9" customHeight="1" x14ac:dyDescent="0.25">
      <c r="B451" s="254"/>
      <c r="C451" s="255" t="str">
        <f>IF($C$1="ENG","Verto LINE-3D","Verto LINE-3D")</f>
        <v>Verto LINE-3D</v>
      </c>
      <c r="D451" s="256">
        <f>IF(AC451="","",(1-$W$2)*(AC451/1.2))</f>
        <v>7350</v>
      </c>
      <c r="E451" s="257">
        <f>IF($W$5=0.2,D451*1.2,D451)/$W$4</f>
        <v>8820</v>
      </c>
      <c r="F451" s="256">
        <f>IF(AD451="","",(1-$W$2)*(AD451/1.2))</f>
        <v>7350</v>
      </c>
      <c r="G451" s="257">
        <f>IF($W$5=0.2,F451*1.2,F451)/$W$4</f>
        <v>8820</v>
      </c>
      <c r="H451" s="256"/>
      <c r="I451" s="258"/>
      <c r="J451" s="256"/>
      <c r="K451" s="258"/>
      <c r="L451" s="256"/>
      <c r="M451" s="258"/>
      <c r="N451" s="256"/>
      <c r="O451" s="258"/>
      <c r="P451" s="256"/>
      <c r="Q451" s="258"/>
      <c r="R451" s="256"/>
      <c r="S451" s="258"/>
      <c r="T451" s="256"/>
      <c r="U451" s="258"/>
      <c r="V451" s="256"/>
      <c r="W451" s="258"/>
      <c r="X451" s="191"/>
      <c r="AB451" s="195" t="str">
        <f>C451</f>
        <v>Verto LINE-3D</v>
      </c>
      <c r="AC451" s="219">
        <v>8820</v>
      </c>
      <c r="AD451" s="219">
        <v>8820</v>
      </c>
      <c r="AE451" s="219"/>
      <c r="AF451" s="219"/>
      <c r="AG451" s="219"/>
      <c r="AH451" s="219"/>
      <c r="AN451" s="192"/>
      <c r="AO451" s="192"/>
      <c r="AP451" s="192"/>
      <c r="AQ451" s="192"/>
      <c r="AR451" s="192"/>
      <c r="AS451" s="192"/>
      <c r="AT451" s="192"/>
    </row>
    <row r="452" spans="2:46" s="190" customFormat="1" ht="24.9" customHeight="1" x14ac:dyDescent="0.25">
      <c r="B452" s="206"/>
      <c r="C452" s="207" t="str">
        <f>IF($C$1="ENG","Premium","Premium")</f>
        <v>Premium</v>
      </c>
      <c r="D452" s="208">
        <f>IF(AC452="","",(1-$W$2)*(AC452/1.2))</f>
        <v>7675</v>
      </c>
      <c r="E452" s="209">
        <f>IF($W$5=0.2,D452*1.2,D452)/$W$4</f>
        <v>9210</v>
      </c>
      <c r="F452" s="208">
        <f>IF(AD452="","",(1-$W$2)*(AD452/1.2))</f>
        <v>7675</v>
      </c>
      <c r="G452" s="209">
        <f>IF($W$5=0.2,F452*1.2,F452)/$W$4</f>
        <v>9210</v>
      </c>
      <c r="H452" s="208"/>
      <c r="I452" s="210"/>
      <c r="J452" s="208"/>
      <c r="K452" s="210"/>
      <c r="L452" s="208"/>
      <c r="M452" s="210"/>
      <c r="N452" s="208"/>
      <c r="O452" s="210"/>
      <c r="P452" s="208"/>
      <c r="Q452" s="210"/>
      <c r="R452" s="208"/>
      <c r="S452" s="210"/>
      <c r="T452" s="208"/>
      <c r="U452" s="210"/>
      <c r="V452" s="208"/>
      <c r="W452" s="210"/>
      <c r="X452" s="191"/>
      <c r="AB452" s="195" t="str">
        <f>C452</f>
        <v>Premium</v>
      </c>
      <c r="AC452" s="219">
        <v>9210</v>
      </c>
      <c r="AD452" s="219">
        <v>9210</v>
      </c>
      <c r="AE452" s="219"/>
      <c r="AF452" s="219"/>
      <c r="AG452" s="219"/>
      <c r="AH452" s="219"/>
      <c r="AN452" s="192"/>
      <c r="AO452" s="192"/>
      <c r="AP452" s="192"/>
      <c r="AQ452" s="192"/>
      <c r="AR452" s="192"/>
      <c r="AS452" s="192"/>
      <c r="AT452" s="192"/>
    </row>
    <row r="453" spans="2:46" x14ac:dyDescent="0.25">
      <c r="B453" s="187"/>
      <c r="C453" s="1"/>
      <c r="D453" s="186"/>
      <c r="E453" s="186"/>
      <c r="F453" s="186"/>
      <c r="G453" s="186"/>
      <c r="H453" s="186"/>
      <c r="I453" s="186"/>
      <c r="J453" s="186"/>
      <c r="K453" s="186"/>
      <c r="L453" s="186"/>
      <c r="M453" s="200"/>
      <c r="N453" s="186"/>
      <c r="O453" s="186"/>
      <c r="P453" s="186"/>
      <c r="Q453" s="186"/>
      <c r="R453" s="186"/>
      <c r="S453" s="186"/>
      <c r="T453" s="186"/>
      <c r="U453" s="186"/>
      <c r="V453" s="186"/>
      <c r="W453" s="186"/>
      <c r="X453" s="186"/>
    </row>
    <row r="454" spans="2:46" x14ac:dyDescent="0.25">
      <c r="B454" s="211" t="str">
        <f>IF($C$1="ENG","For additonal charge:","Послуги за додаткову плату:")</f>
        <v>Послуги за додаткову плату:</v>
      </c>
      <c r="C454" s="212"/>
      <c r="D454" s="213"/>
      <c r="E454" s="214" t="str">
        <f>CONCATENATE(B447," ",C447)</f>
        <v>ЦІНА з ПДВ</v>
      </c>
      <c r="F454" s="215"/>
      <c r="G454" s="215"/>
      <c r="H454" s="215"/>
      <c r="I454" s="215"/>
      <c r="J454" s="215"/>
      <c r="K454" s="215"/>
      <c r="L454" s="215"/>
      <c r="M454" s="215"/>
      <c r="N454" s="215"/>
      <c r="O454" s="215"/>
      <c r="P454" s="215"/>
      <c r="Q454" s="215"/>
      <c r="R454" s="215"/>
      <c r="S454" s="215"/>
      <c r="T454" s="215"/>
      <c r="U454" s="215"/>
      <c r="V454" s="215"/>
      <c r="W454" s="215"/>
      <c r="X454" s="186"/>
    </row>
    <row r="455" spans="2:46" x14ac:dyDescent="0.25">
      <c r="B455" s="187"/>
      <c r="C455" s="1"/>
      <c r="D455" s="186"/>
      <c r="E455" s="186"/>
      <c r="F455" s="186"/>
      <c r="G455" s="186"/>
      <c r="H455" s="186"/>
      <c r="I455" s="186"/>
      <c r="J455" s="186"/>
      <c r="K455" s="186"/>
      <c r="L455" s="186"/>
      <c r="M455" s="186"/>
      <c r="N455" s="186"/>
      <c r="O455" s="186"/>
      <c r="P455" s="186"/>
      <c r="Q455" s="186"/>
      <c r="R455" s="186"/>
      <c r="S455" s="186"/>
      <c r="T455" s="186"/>
      <c r="U455" s="186"/>
      <c r="V455" s="186"/>
      <c r="W455" s="186"/>
      <c r="X455" s="186"/>
    </row>
    <row r="456" spans="2:46" ht="15" customHeight="1" x14ac:dyDescent="0.25">
      <c r="B456" s="224"/>
      <c r="C456" s="223" t="str">
        <f>IF($C$1="ENG","door leaf with width 100","полотно розміром 100")</f>
        <v>полотно розміром 100</v>
      </c>
      <c r="D456" s="236">
        <f>IF(AC456="","",(1-$W$2)*(AC456/1.2))</f>
        <v>691.66666666666674</v>
      </c>
      <c r="E456" s="227">
        <f>IF($W$5=0.2,D456*1.2,D456)/$W$4</f>
        <v>830.00000000000011</v>
      </c>
      <c r="F456" s="191"/>
      <c r="G456" s="229"/>
      <c r="H456" s="224"/>
      <c r="I456" s="223" t="str">
        <f>IF($C$1="ENG","door lock Soft","замок Soft")</f>
        <v>замок Soft</v>
      </c>
      <c r="J456" s="238">
        <f>IF(AF456="","",(1-$W$2)*(AF456/1.2))</f>
        <v>525</v>
      </c>
      <c r="K456" s="227">
        <f>IF($W$5=0.2,J456*1.2,J456)/$W$4</f>
        <v>630</v>
      </c>
      <c r="L456" s="191"/>
      <c r="M456" s="229"/>
      <c r="N456" s="224"/>
      <c r="O456" s="223" t="str">
        <f>IF($C$1="ENG","cylinder incert","циліндр несиметричний")</f>
        <v>циліндр несиметричний</v>
      </c>
      <c r="P456" s="236">
        <f>IF(AI456="","",(1-$W$2)*(AI456/1.2))</f>
        <v>375</v>
      </c>
      <c r="Q456" s="227">
        <f>IF($W$5=0.2,P456*1.2,P456)/$W$4</f>
        <v>450</v>
      </c>
      <c r="R456" s="186"/>
      <c r="S456" s="186"/>
      <c r="T456" s="186"/>
      <c r="U456" s="186"/>
      <c r="V456" s="186"/>
      <c r="W456" s="186"/>
      <c r="X456" s="186"/>
      <c r="AC456" s="218">
        <v>830</v>
      </c>
      <c r="AF456" s="218">
        <v>630</v>
      </c>
      <c r="AI456" s="218">
        <v>450</v>
      </c>
    </row>
    <row r="457" spans="2:46" ht="15" customHeight="1" x14ac:dyDescent="0.25">
      <c r="B457" s="225"/>
      <c r="C457" s="222" t="str">
        <f>IF($C$1="ENG","Ventilation cut","вентиляційний підріз")</f>
        <v>вентиляційний підріз</v>
      </c>
      <c r="D457" s="237">
        <f>IF(AC457="","",(1-$W$2)*(AC457/1.2))</f>
        <v>162.5</v>
      </c>
      <c r="E457" s="228">
        <f>IF($W$5=0.2,D457*1.2,D457)/$W$4</f>
        <v>195</v>
      </c>
      <c r="F457" s="191"/>
      <c r="G457" s="230"/>
      <c r="H457" s="225"/>
      <c r="I457" s="222" t="str">
        <f>IF($C$1="ENG","door lock Soft black","замок Soft чорн.")</f>
        <v>замок Soft чорн.</v>
      </c>
      <c r="J457" s="239">
        <f>IF(AF457="","",(1-$W$2)*(AF457/1.2))</f>
        <v>650</v>
      </c>
      <c r="K457" s="228">
        <f>IF($W$5=0.2,J457*1.2,J457)/$W$4</f>
        <v>780</v>
      </c>
      <c r="L457" s="191"/>
      <c r="M457" s="230"/>
      <c r="N457" s="225"/>
      <c r="O457" s="222" t="str">
        <f>IF($C$1="ENG","door hindge Prestige (1 unit)","завіса Prestige (1 шт)")</f>
        <v>завіса Prestige (1 шт)</v>
      </c>
      <c r="P457" s="240">
        <f>IF(AI457="","",(1-$W$2)*(AI457/1.2))</f>
        <v>250</v>
      </c>
      <c r="Q457" s="228">
        <f>IF($W$5=0.2,P457*1.2,P457)/$W$4</f>
        <v>300</v>
      </c>
      <c r="R457" s="186"/>
      <c r="S457" s="186"/>
      <c r="T457" s="186"/>
      <c r="U457" s="186"/>
      <c r="V457" s="186"/>
      <c r="W457" s="186"/>
      <c r="X457" s="186"/>
      <c r="AC457" s="218">
        <v>195</v>
      </c>
      <c r="AF457" s="218">
        <v>780</v>
      </c>
      <c r="AI457" s="218">
        <v>300</v>
      </c>
    </row>
    <row r="458" spans="2:46" ht="15" customHeight="1" x14ac:dyDescent="0.25">
      <c r="B458" s="225"/>
      <c r="C458" s="222" t="str">
        <f>IF($C$1="ENG","glazing Graphite / Bronze","скло Графіт / Бронза")</f>
        <v>скло Графіт / Бронза</v>
      </c>
      <c r="D458" s="237">
        <f>IF(AC458="","",(1-$W$2)*(AC458/1.2))</f>
        <v>525</v>
      </c>
      <c r="E458" s="228">
        <f>IF($W$5=0.2,D458*1.2,D458)/$W$4</f>
        <v>630</v>
      </c>
      <c r="F458" s="191"/>
      <c r="G458" s="230"/>
      <c r="H458" s="225"/>
      <c r="I458" s="222" t="str">
        <f>IF($C$1="ENG","door lock Magnet","замок Magnet")</f>
        <v>замок Magnet</v>
      </c>
      <c r="J458" s="239">
        <f>IF(AF458="","",(1-$W$2)*(AF458/1.2))</f>
        <v>766.66666666666674</v>
      </c>
      <c r="K458" s="228">
        <f>IF($W$5=0.2,J458*1.2,J458)/$W$4</f>
        <v>920.00000000000011</v>
      </c>
      <c r="L458" s="191"/>
      <c r="M458" s="230"/>
      <c r="N458" s="225"/>
      <c r="O458" s="222" t="str">
        <f>IF($C$1="ENG","door hinge caps (1 set)","накладка на завіси (1 к-т)")</f>
        <v>накладка на завіси (1 к-т)</v>
      </c>
      <c r="P458" s="240">
        <f>IF(AI458="","",(1-$W$2)*(AI458/1.2))</f>
        <v>75</v>
      </c>
      <c r="Q458" s="228">
        <f>IF($W$5=0.2,P458*1.2,P458)/$W$4</f>
        <v>90</v>
      </c>
      <c r="R458" s="186"/>
      <c r="S458" s="186"/>
      <c r="T458" s="186"/>
      <c r="U458" s="186"/>
      <c r="V458" s="186"/>
      <c r="W458" s="186"/>
      <c r="X458" s="186"/>
      <c r="AC458" s="218">
        <v>630</v>
      </c>
      <c r="AF458" s="218">
        <v>920</v>
      </c>
      <c r="AI458" s="218">
        <v>90</v>
      </c>
    </row>
    <row r="459" spans="2:46" s="8" customFormat="1" ht="15" customHeight="1" x14ac:dyDescent="0.25">
      <c r="B459" s="225"/>
      <c r="C459" s="222" t="str">
        <f>IF($C$1="ENG","glazing Lacobel black ","скло Lacobel чорне")</f>
        <v>скло Lacobel чорне</v>
      </c>
      <c r="D459" s="237">
        <f>IF(AC459="","",(1-$W$2)*(AC459/1.2))</f>
        <v>525</v>
      </c>
      <c r="E459" s="228">
        <f>IF($W$5=0.2,D459*1.2,D459)/$W$4</f>
        <v>630</v>
      </c>
      <c r="F459" s="184"/>
      <c r="G459" s="231"/>
      <c r="H459" s="226"/>
      <c r="I459" s="222" t="str">
        <f>IF($C$1="ENG","door lock Magnet black","замок Magnet чорн.")</f>
        <v>замок Magnet чорн.</v>
      </c>
      <c r="J459" s="239">
        <f>IF(AF459="","",(1-$W$2)*(AF459/1.2))</f>
        <v>958.33333333333337</v>
      </c>
      <c r="K459" s="228">
        <f>IF($W$5=0.2,J459*1.2,J459)/$W$4</f>
        <v>1150</v>
      </c>
      <c r="L459" s="220"/>
      <c r="M459" s="233"/>
      <c r="N459" s="226"/>
      <c r="O459" s="222" t="str">
        <f>IF($C$1="ENG","door handle","дверна ручка")</f>
        <v>дверна ручка</v>
      </c>
      <c r="P459" s="237">
        <f>IF(AI459="","",(1-$W$2)*(AI459/1.2))</f>
        <v>0</v>
      </c>
      <c r="Q459" s="235" t="str">
        <f>IF($C$1="ENG","see Handles Price","див. Таблицю Ручки")</f>
        <v>див. Таблицю Ручки</v>
      </c>
      <c r="AC459" s="218">
        <v>630</v>
      </c>
      <c r="AF459" s="218">
        <v>1150</v>
      </c>
      <c r="AI459" s="218">
        <v>0</v>
      </c>
      <c r="AN459" s="123"/>
      <c r="AO459" s="123"/>
      <c r="AP459" s="123"/>
      <c r="AQ459" s="123"/>
      <c r="AR459" s="123"/>
      <c r="AS459" s="123"/>
      <c r="AT459" s="123"/>
    </row>
    <row r="460" spans="2:46" ht="15" customHeight="1" x14ac:dyDescent="0.25">
      <c r="C460" s="1"/>
      <c r="F460" s="221"/>
      <c r="G460" s="232"/>
      <c r="H460" s="225"/>
      <c r="I460" s="222" t="str">
        <f>IF($C$1="ENG","door handle-lock (for sliding doors)","ручка-замок (для дверей купе)")</f>
        <v>ручка-замок (для дверей купе)</v>
      </c>
      <c r="J460" s="237">
        <f>IF(AF460="","",(1-$W$2)*(AF460/1.2))</f>
        <v>533.33333333333337</v>
      </c>
      <c r="K460" s="228">
        <f>IF($W$5=0.2,J460*1.2,J460)/$W$4</f>
        <v>640</v>
      </c>
      <c r="L460" s="190"/>
      <c r="AF460" s="218">
        <v>640</v>
      </c>
      <c r="AI460" s="8"/>
      <c r="AN460" s="1"/>
    </row>
    <row r="461" spans="2:46" x14ac:dyDescent="0.25">
      <c r="C461" s="110"/>
      <c r="D461" s="21"/>
      <c r="E461" s="21"/>
      <c r="F461" s="21"/>
      <c r="G461" s="21"/>
      <c r="H461" s="5"/>
    </row>
    <row r="462" spans="2:46" x14ac:dyDescent="0.25">
      <c r="C462" s="110"/>
      <c r="D462" s="21"/>
      <c r="E462" s="21"/>
      <c r="F462" s="21"/>
      <c r="G462" s="21"/>
      <c r="H462" s="5"/>
    </row>
    <row r="463" spans="2:46" x14ac:dyDescent="0.25">
      <c r="C463" s="110"/>
      <c r="D463" s="21"/>
      <c r="E463" s="21"/>
      <c r="F463" s="21"/>
      <c r="G463" s="21"/>
      <c r="H463" s="5"/>
    </row>
    <row r="464" spans="2:46" x14ac:dyDescent="0.25">
      <c r="C464" s="110"/>
      <c r="D464" s="21"/>
      <c r="E464" s="21"/>
      <c r="F464" s="21"/>
      <c r="G464" s="21"/>
      <c r="H464" s="5"/>
    </row>
    <row r="465" spans="2:46" s="8" customFormat="1" ht="24.9" customHeight="1" x14ac:dyDescent="0.25">
      <c r="B465" s="246" t="str">
        <f>TITLE!C23</f>
        <v>Полотна збірні: LISA</v>
      </c>
      <c r="C465" s="244"/>
      <c r="D465" s="245"/>
      <c r="E465" s="245"/>
      <c r="F465" s="216"/>
      <c r="G465" s="216"/>
      <c r="H465" s="216"/>
      <c r="I465" s="217"/>
      <c r="J465" s="217"/>
      <c r="K465" s="217"/>
      <c r="L465" s="217"/>
      <c r="M465" s="217"/>
      <c r="N465" s="217"/>
      <c r="O465" s="217"/>
      <c r="P465" s="217"/>
      <c r="Q465" s="217"/>
      <c r="R465" s="217"/>
      <c r="S465" s="217"/>
      <c r="T465" s="217"/>
      <c r="U465" s="217"/>
      <c r="V465" s="217"/>
      <c r="W465" s="217"/>
      <c r="X465" s="185"/>
      <c r="AN465" s="123"/>
      <c r="AO465" s="123"/>
      <c r="AP465" s="123"/>
      <c r="AQ465" s="123"/>
      <c r="AR465" s="123"/>
      <c r="AS465" s="123"/>
      <c r="AT465" s="123"/>
    </row>
    <row r="466" spans="2:46" s="8" customFormat="1" x14ac:dyDescent="0.25">
      <c r="B466" s="83"/>
      <c r="C466" s="162"/>
      <c r="D466" s="247"/>
      <c r="E466" s="247"/>
      <c r="F466" s="247"/>
      <c r="G466" s="247"/>
      <c r="H466" s="10"/>
      <c r="I466" s="264"/>
      <c r="T466" s="90"/>
      <c r="U466" s="90"/>
      <c r="V466" s="90"/>
      <c r="W466" s="90"/>
      <c r="AN466" s="123"/>
      <c r="AO466" s="123"/>
      <c r="AP466" s="123"/>
      <c r="AQ466" s="123"/>
      <c r="AR466" s="123"/>
      <c r="AS466" s="123"/>
      <c r="AT466" s="123"/>
    </row>
    <row r="467" spans="2:46" x14ac:dyDescent="0.25">
      <c r="B467" s="186"/>
      <c r="C467" s="193" t="str">
        <f>IF($C$1="ENG","model:","модель:")</f>
        <v>модель:</v>
      </c>
      <c r="D467" s="186"/>
      <c r="E467" s="196" t="s">
        <v>25</v>
      </c>
      <c r="F467" s="188"/>
      <c r="G467" s="196" t="s">
        <v>39</v>
      </c>
      <c r="H467" s="188"/>
      <c r="I467" s="248"/>
      <c r="J467" s="188"/>
      <c r="K467" s="248"/>
      <c r="L467" s="188"/>
      <c r="M467" s="248"/>
      <c r="N467" s="188"/>
      <c r="O467" s="248"/>
      <c r="P467" s="186"/>
      <c r="Q467" s="186"/>
      <c r="R467" s="186"/>
      <c r="S467" s="186"/>
      <c r="T467" s="186"/>
      <c r="U467" s="186"/>
      <c r="V467" s="186"/>
      <c r="W467" s="186"/>
      <c r="X467" s="186"/>
    </row>
    <row r="468" spans="2:46" x14ac:dyDescent="0.25">
      <c r="B468" s="186"/>
      <c r="C468" s="187"/>
      <c r="D468" s="186"/>
      <c r="E468" s="197"/>
      <c r="F468" s="186"/>
      <c r="G468" s="197"/>
      <c r="H468" s="186"/>
      <c r="I468" s="200"/>
      <c r="J468" s="186"/>
      <c r="K468" s="200"/>
      <c r="L468" s="186"/>
      <c r="M468" s="200"/>
      <c r="N468" s="186"/>
      <c r="O468" s="200"/>
      <c r="P468" s="186"/>
      <c r="Q468" s="186"/>
      <c r="R468" s="186"/>
      <c r="S468" s="186"/>
      <c r="T468" s="186"/>
      <c r="U468" s="186"/>
      <c r="V468" s="186"/>
      <c r="W468" s="186"/>
      <c r="X468" s="186"/>
    </row>
    <row r="469" spans="2:46" x14ac:dyDescent="0.25">
      <c r="B469" s="186"/>
      <c r="C469" s="187"/>
      <c r="D469" s="186"/>
      <c r="E469" s="197"/>
      <c r="F469" s="186"/>
      <c r="G469" s="197"/>
      <c r="H469" s="186"/>
      <c r="I469" s="200"/>
      <c r="J469" s="186"/>
      <c r="K469" s="200"/>
      <c r="L469" s="186"/>
      <c r="M469" s="200"/>
      <c r="N469" s="186"/>
      <c r="O469" s="200"/>
      <c r="P469" s="186"/>
      <c r="Q469" s="186"/>
      <c r="R469" s="186"/>
      <c r="S469" s="186"/>
      <c r="T469" s="186"/>
      <c r="U469" s="186"/>
      <c r="V469" s="186"/>
      <c r="W469" s="186"/>
      <c r="X469" s="186"/>
    </row>
    <row r="470" spans="2:46" x14ac:dyDescent="0.25">
      <c r="B470" s="186"/>
      <c r="C470" s="187"/>
      <c r="D470" s="186"/>
      <c r="E470" s="197"/>
      <c r="F470" s="186"/>
      <c r="G470" s="197"/>
      <c r="H470" s="186"/>
      <c r="I470" s="200"/>
      <c r="J470" s="186"/>
      <c r="K470" s="200"/>
      <c r="L470" s="186"/>
      <c r="M470" s="200"/>
      <c r="N470" s="186"/>
      <c r="O470" s="200"/>
      <c r="P470" s="186"/>
      <c r="Q470" s="186"/>
      <c r="R470" s="186"/>
      <c r="S470" s="186"/>
      <c r="T470" s="186"/>
      <c r="U470" s="186"/>
      <c r="V470" s="186"/>
      <c r="W470" s="186"/>
      <c r="X470" s="186"/>
    </row>
    <row r="471" spans="2:46" x14ac:dyDescent="0.25">
      <c r="B471" s="186"/>
      <c r="C471" s="187"/>
      <c r="D471" s="186"/>
      <c r="E471" s="197"/>
      <c r="F471" s="186"/>
      <c r="G471" s="197"/>
      <c r="H471" s="186"/>
      <c r="I471" s="200"/>
      <c r="J471" s="186"/>
      <c r="K471" s="200"/>
      <c r="L471" s="186"/>
      <c r="M471" s="200"/>
      <c r="N471" s="186"/>
      <c r="O471" s="200"/>
      <c r="P471" s="186"/>
      <c r="Q471" s="186"/>
      <c r="R471" s="186"/>
      <c r="S471" s="186"/>
      <c r="T471" s="186"/>
      <c r="U471" s="186"/>
      <c r="V471" s="186"/>
      <c r="W471" s="186"/>
      <c r="X471" s="186"/>
    </row>
    <row r="472" spans="2:46" x14ac:dyDescent="0.25">
      <c r="B472" s="186"/>
      <c r="C472" s="187"/>
      <c r="D472" s="186"/>
      <c r="E472" s="197"/>
      <c r="F472" s="186"/>
      <c r="G472" s="197"/>
      <c r="H472" s="186"/>
      <c r="I472" s="200"/>
      <c r="J472" s="186"/>
      <c r="K472" s="200"/>
      <c r="L472" s="186"/>
      <c r="M472" s="200"/>
      <c r="N472" s="186"/>
      <c r="O472" s="200"/>
      <c r="P472" s="186"/>
      <c r="Q472" s="186"/>
      <c r="R472" s="186"/>
      <c r="S472" s="186"/>
      <c r="T472" s="186"/>
      <c r="U472" s="186"/>
      <c r="V472" s="186"/>
      <c r="W472" s="186"/>
      <c r="X472" s="186"/>
    </row>
    <row r="473" spans="2:46" x14ac:dyDescent="0.25">
      <c r="B473" s="186"/>
      <c r="C473" s="187"/>
      <c r="D473" s="186"/>
      <c r="E473" s="197"/>
      <c r="F473" s="186"/>
      <c r="G473" s="197"/>
      <c r="H473" s="186"/>
      <c r="I473" s="200"/>
      <c r="J473" s="186"/>
      <c r="K473" s="200"/>
      <c r="L473" s="186"/>
      <c r="M473" s="200"/>
      <c r="N473" s="186"/>
      <c r="O473" s="200"/>
      <c r="P473" s="186"/>
      <c r="Q473" s="186"/>
      <c r="R473" s="186"/>
      <c r="S473" s="186"/>
      <c r="T473" s="186"/>
      <c r="U473" s="186"/>
      <c r="V473" s="186"/>
      <c r="W473" s="186"/>
      <c r="X473" s="186"/>
    </row>
    <row r="474" spans="2:46" x14ac:dyDescent="0.25">
      <c r="B474" s="186"/>
      <c r="C474" s="187"/>
      <c r="D474" s="186"/>
      <c r="E474" s="197"/>
      <c r="F474" s="186"/>
      <c r="G474" s="197"/>
      <c r="H474" s="186"/>
      <c r="I474" s="200"/>
      <c r="J474" s="186"/>
      <c r="K474" s="200"/>
      <c r="L474" s="186"/>
      <c r="M474" s="200"/>
      <c r="N474" s="186"/>
      <c r="O474" s="200"/>
      <c r="P474" s="186"/>
      <c r="Q474" s="186"/>
      <c r="R474" s="186"/>
      <c r="S474" s="186"/>
      <c r="T474" s="186"/>
      <c r="U474" s="186"/>
      <c r="V474" s="186"/>
      <c r="W474" s="186"/>
      <c r="X474" s="186"/>
    </row>
    <row r="475" spans="2:46" x14ac:dyDescent="0.25">
      <c r="B475" s="186"/>
      <c r="C475" s="1"/>
      <c r="D475" s="186"/>
      <c r="E475" s="197"/>
      <c r="F475" s="186"/>
      <c r="G475" s="197"/>
      <c r="H475" s="186"/>
      <c r="I475" s="200"/>
      <c r="J475" s="186"/>
      <c r="K475" s="200"/>
      <c r="L475" s="186"/>
      <c r="M475" s="200"/>
      <c r="N475" s="186"/>
      <c r="O475" s="200"/>
      <c r="P475" s="186"/>
      <c r="Q475" s="186"/>
      <c r="R475" s="186"/>
      <c r="S475" s="186"/>
      <c r="T475" s="186"/>
      <c r="U475" s="186"/>
      <c r="V475" s="186"/>
      <c r="W475" s="186"/>
      <c r="X475" s="186"/>
    </row>
    <row r="476" spans="2:46" x14ac:dyDescent="0.25">
      <c r="B476" s="186"/>
      <c r="C476" s="187" t="str">
        <f>IF($C$1="ENG","filling:","заповнення:")</f>
        <v>заповнення:</v>
      </c>
      <c r="D476" s="186"/>
      <c r="E476" s="198" t="str">
        <f>IF($C$1="ENG","softwood","клеєний брус")</f>
        <v>клеєний брус</v>
      </c>
      <c r="F476" s="189"/>
      <c r="G476" s="198" t="str">
        <f>IF($C$1="ENG","softwood","клеєний брус")</f>
        <v>клеєний брус</v>
      </c>
      <c r="H476" s="189"/>
      <c r="I476" s="249"/>
      <c r="J476" s="189"/>
      <c r="K476" s="249"/>
      <c r="L476" s="189"/>
      <c r="M476" s="249"/>
      <c r="N476" s="189"/>
      <c r="O476" s="249"/>
      <c r="P476" s="186"/>
      <c r="Q476" s="186"/>
      <c r="R476" s="186"/>
      <c r="S476" s="186"/>
      <c r="T476" s="186"/>
      <c r="U476" s="186"/>
      <c r="V476" s="186"/>
      <c r="W476" s="186"/>
      <c r="X476" s="186"/>
    </row>
    <row r="477" spans="2:46" x14ac:dyDescent="0.25">
      <c r="B477" s="186"/>
      <c r="C477" s="187" t="str">
        <f>IF($C$1="ENG","glazing:","скління:")</f>
        <v>скління:</v>
      </c>
      <c r="D477" s="186"/>
      <c r="E477" s="198" t="str">
        <f>IF($C$1="ENG","Satin","Сатин")</f>
        <v>Сатин</v>
      </c>
      <c r="F477" s="189"/>
      <c r="G477" s="198" t="str">
        <f>IF($C$1="ENG","Satin","Сатин")</f>
        <v>Сатин</v>
      </c>
      <c r="H477" s="189"/>
      <c r="I477" s="249"/>
      <c r="J477" s="189"/>
      <c r="K477" s="249"/>
      <c r="L477" s="189"/>
      <c r="M477" s="249"/>
      <c r="N477" s="189"/>
      <c r="O477" s="249"/>
      <c r="P477" s="186"/>
      <c r="Q477" s="186"/>
      <c r="R477" s="186"/>
      <c r="S477" s="186"/>
      <c r="T477" s="186"/>
      <c r="U477" s="186"/>
      <c r="V477" s="186"/>
      <c r="W477" s="186"/>
      <c r="X477" s="186"/>
    </row>
    <row r="478" spans="2:46" x14ac:dyDescent="0.25">
      <c r="D478" s="199"/>
      <c r="E478" s="197"/>
      <c r="F478" s="200"/>
      <c r="G478" s="197"/>
      <c r="H478" s="200"/>
      <c r="I478" s="200"/>
      <c r="J478" s="200"/>
      <c r="K478" s="200"/>
      <c r="L478" s="200"/>
      <c r="M478" s="200"/>
      <c r="N478" s="200"/>
      <c r="O478" s="200"/>
      <c r="P478" s="200"/>
      <c r="Q478" s="200"/>
      <c r="R478" s="200"/>
      <c r="S478" s="200"/>
      <c r="T478" s="200"/>
      <c r="U478" s="200"/>
      <c r="V478" s="200"/>
      <c r="W478" s="200"/>
      <c r="X478" s="186"/>
    </row>
    <row r="479" spans="2:46" s="190" customFormat="1" ht="15" customHeight="1" x14ac:dyDescent="0.25">
      <c r="B479" s="241" t="str">
        <f>IF($C$1="ENG","PRICE","ЦІНА")</f>
        <v>ЦІНА</v>
      </c>
      <c r="C479" s="242" t="str">
        <f>IF($C$1="ENG",IF($W$5=0.2,"with VAT","no VAT"),IF($W$5=0.2,"з ПДВ","без ПДВ"))</f>
        <v>з ПДВ</v>
      </c>
      <c r="D479" s="191"/>
      <c r="E479" s="243"/>
      <c r="F479" s="191"/>
      <c r="G479" s="243"/>
      <c r="H479" s="191"/>
      <c r="I479" s="194"/>
      <c r="J479" s="191"/>
      <c r="K479" s="194"/>
      <c r="L479" s="191"/>
      <c r="M479" s="194"/>
      <c r="N479" s="191"/>
      <c r="O479" s="194"/>
      <c r="P479" s="191"/>
      <c r="Q479" s="191"/>
      <c r="R479" s="191"/>
      <c r="S479" s="191"/>
      <c r="T479" s="191"/>
      <c r="U479" s="191"/>
      <c r="V479" s="191"/>
      <c r="W479" s="191"/>
      <c r="X479" s="191"/>
      <c r="AN479" s="192"/>
      <c r="AO479" s="192"/>
      <c r="AP479" s="192"/>
      <c r="AQ479" s="192"/>
      <c r="AR479" s="192"/>
      <c r="AS479" s="192"/>
      <c r="AT479" s="192"/>
    </row>
    <row r="480" spans="2:46" s="190" customFormat="1" ht="24.9" customHeight="1" x14ac:dyDescent="0.25">
      <c r="B480" s="201" t="str">
        <f>IF($C$1="ENG","Cover:","Покриття:")</f>
        <v>Покриття:</v>
      </c>
      <c r="C480" s="202" t="str">
        <f>IF($C$1="ENG","Verto-CELL","Verto-CELL")</f>
        <v>Verto-CELL</v>
      </c>
      <c r="D480" s="203">
        <f>IF(AC480="","",(1-$W$2)*(AC480/1.2))</f>
        <v>5166.666666666667</v>
      </c>
      <c r="E480" s="204">
        <f>IF($W$5=0.2,D480*1.2,D480)/$W$4</f>
        <v>6200</v>
      </c>
      <c r="F480" s="203">
        <f>IF(AD480="","",(1-$W$2)*(AD480/1.2))</f>
        <v>5166.666666666667</v>
      </c>
      <c r="G480" s="204">
        <f>IF($W$5=0.2,F480*1.2,F480)/$W$4</f>
        <v>6200</v>
      </c>
      <c r="H480" s="203"/>
      <c r="I480" s="205"/>
      <c r="J480" s="203"/>
      <c r="K480" s="205"/>
      <c r="L480" s="203"/>
      <c r="M480" s="205"/>
      <c r="N480" s="203"/>
      <c r="O480" s="205"/>
      <c r="P480" s="203"/>
      <c r="Q480" s="205"/>
      <c r="R480" s="203"/>
      <c r="S480" s="205"/>
      <c r="T480" s="203"/>
      <c r="U480" s="205"/>
      <c r="V480" s="203"/>
      <c r="W480" s="205"/>
      <c r="X480" s="191"/>
      <c r="AB480" s="195" t="str">
        <f>C480</f>
        <v>Verto-CELL</v>
      </c>
      <c r="AC480" s="219">
        <v>6200</v>
      </c>
      <c r="AD480" s="219">
        <v>6200</v>
      </c>
      <c r="AE480" s="219"/>
      <c r="AF480" s="219"/>
      <c r="AG480" s="219"/>
      <c r="AH480" s="219"/>
      <c r="AN480" s="192"/>
      <c r="AO480" s="192"/>
      <c r="AP480" s="192"/>
      <c r="AQ480" s="192"/>
      <c r="AR480" s="192"/>
      <c r="AS480" s="192"/>
      <c r="AT480" s="192"/>
    </row>
    <row r="481" spans="2:46" s="190" customFormat="1" ht="24.9" customHeight="1" x14ac:dyDescent="0.25">
      <c r="B481" s="254"/>
      <c r="C481" s="255" t="str">
        <f>IF($C$1="ENG","UNI-MAT","UNI-MAT")</f>
        <v>UNI-MAT</v>
      </c>
      <c r="D481" s="256">
        <f>IF(AC481="","",(1-$W$2)*(AC481/1.2))</f>
        <v>5708.3333333333339</v>
      </c>
      <c r="E481" s="257">
        <f>IF($W$5=0.2,D481*1.2,D481)/$W$4</f>
        <v>6850.0000000000009</v>
      </c>
      <c r="F481" s="256">
        <f>IF(AD481="","",(1-$W$2)*(AD481/1.2))</f>
        <v>5708.3333333333339</v>
      </c>
      <c r="G481" s="257">
        <f>IF($W$5=0.2,F481*1.2,F481)/$W$4</f>
        <v>6850.0000000000009</v>
      </c>
      <c r="H481" s="256"/>
      <c r="I481" s="258"/>
      <c r="J481" s="256"/>
      <c r="K481" s="258"/>
      <c r="L481" s="256"/>
      <c r="M481" s="258"/>
      <c r="N481" s="256"/>
      <c r="O481" s="258"/>
      <c r="P481" s="256"/>
      <c r="Q481" s="258"/>
      <c r="R481" s="256"/>
      <c r="S481" s="258"/>
      <c r="T481" s="256"/>
      <c r="U481" s="258"/>
      <c r="V481" s="256"/>
      <c r="W481" s="258"/>
      <c r="X481" s="191"/>
      <c r="AB481" s="195" t="str">
        <f>C481</f>
        <v>UNI-MAT</v>
      </c>
      <c r="AC481" s="219">
        <v>6850</v>
      </c>
      <c r="AD481" s="219">
        <v>6850</v>
      </c>
      <c r="AE481" s="219"/>
      <c r="AF481" s="219"/>
      <c r="AG481" s="219"/>
      <c r="AH481" s="219"/>
      <c r="AN481" s="192"/>
      <c r="AO481" s="192"/>
      <c r="AP481" s="192"/>
      <c r="AQ481" s="192"/>
      <c r="AR481" s="192"/>
      <c r="AS481" s="192"/>
      <c r="AT481" s="192"/>
    </row>
    <row r="482" spans="2:46" s="190" customFormat="1" ht="24.9" customHeight="1" x14ac:dyDescent="0.25">
      <c r="B482" s="254"/>
      <c r="C482" s="255" t="str">
        <f>IF($C$1="ENG","RESIST","RESIST")</f>
        <v>RESIST</v>
      </c>
      <c r="D482" s="256">
        <f>IF(AC482="","",(1-$W$2)*(AC482/1.2))</f>
        <v>5875</v>
      </c>
      <c r="E482" s="257">
        <f>IF($W$5=0.2,D482*1.2,D482)/$W$4</f>
        <v>7050</v>
      </c>
      <c r="F482" s="256">
        <f>IF(AD482="","",(1-$W$2)*(AD482/1.2))</f>
        <v>5875</v>
      </c>
      <c r="G482" s="257">
        <f>IF($W$5=0.2,F482*1.2,F482)/$W$4</f>
        <v>7050</v>
      </c>
      <c r="H482" s="256"/>
      <c r="I482" s="258"/>
      <c r="J482" s="256"/>
      <c r="K482" s="258"/>
      <c r="L482" s="256"/>
      <c r="M482" s="258"/>
      <c r="N482" s="256"/>
      <c r="O482" s="258"/>
      <c r="P482" s="256"/>
      <c r="Q482" s="258"/>
      <c r="R482" s="256"/>
      <c r="S482" s="258"/>
      <c r="T482" s="256"/>
      <c r="U482" s="258"/>
      <c r="V482" s="256"/>
      <c r="W482" s="258"/>
      <c r="X482" s="191"/>
      <c r="AB482" s="195" t="str">
        <f>C482</f>
        <v>RESIST</v>
      </c>
      <c r="AC482" s="219">
        <v>7050</v>
      </c>
      <c r="AD482" s="219">
        <v>7050</v>
      </c>
      <c r="AE482" s="219"/>
      <c r="AF482" s="219"/>
      <c r="AG482" s="219"/>
      <c r="AH482" s="219"/>
      <c r="AN482" s="192"/>
      <c r="AO482" s="192"/>
      <c r="AP482" s="192"/>
      <c r="AQ482" s="192"/>
      <c r="AR482" s="192"/>
      <c r="AS482" s="192"/>
      <c r="AT482" s="192"/>
    </row>
    <row r="483" spans="2:46" s="190" customFormat="1" ht="24.9" customHeight="1" x14ac:dyDescent="0.25">
      <c r="B483" s="254"/>
      <c r="C483" s="255" t="str">
        <f>IF($C$1="ENG","Verto LINE-3D","Verto LINE-3D")</f>
        <v>Verto LINE-3D</v>
      </c>
      <c r="D483" s="256">
        <f>IF(AC483="","",(1-$W$2)*(AC483/1.2))</f>
        <v>6316.666666666667</v>
      </c>
      <c r="E483" s="257">
        <f>IF($W$5=0.2,D483*1.2,D483)/$W$4</f>
        <v>7580</v>
      </c>
      <c r="F483" s="256">
        <f>IF(AD483="","",(1-$W$2)*(AD483/1.2))</f>
        <v>6316.666666666667</v>
      </c>
      <c r="G483" s="257">
        <f>IF($W$5=0.2,F483*1.2,F483)/$W$4</f>
        <v>7580</v>
      </c>
      <c r="H483" s="256"/>
      <c r="I483" s="258"/>
      <c r="J483" s="256"/>
      <c r="K483" s="258"/>
      <c r="L483" s="256"/>
      <c r="M483" s="258"/>
      <c r="N483" s="256"/>
      <c r="O483" s="258"/>
      <c r="P483" s="256"/>
      <c r="Q483" s="258"/>
      <c r="R483" s="256"/>
      <c r="S483" s="258"/>
      <c r="T483" s="256"/>
      <c r="U483" s="258"/>
      <c r="V483" s="256"/>
      <c r="W483" s="258"/>
      <c r="X483" s="191"/>
      <c r="AB483" s="195" t="str">
        <f>C483</f>
        <v>Verto LINE-3D</v>
      </c>
      <c r="AC483" s="219">
        <v>7580</v>
      </c>
      <c r="AD483" s="219">
        <v>7580</v>
      </c>
      <c r="AE483" s="219"/>
      <c r="AF483" s="219"/>
      <c r="AG483" s="219"/>
      <c r="AH483" s="219"/>
      <c r="AN483" s="192"/>
      <c r="AO483" s="192"/>
      <c r="AP483" s="192"/>
      <c r="AQ483" s="192"/>
      <c r="AR483" s="192"/>
      <c r="AS483" s="192"/>
      <c r="AT483" s="192"/>
    </row>
    <row r="484" spans="2:46" s="190" customFormat="1" ht="24.9" customHeight="1" x14ac:dyDescent="0.25">
      <c r="B484" s="206"/>
      <c r="C484" s="207" t="str">
        <f>IF($C$1="ENG","Premium","Premium")</f>
        <v>Premium</v>
      </c>
      <c r="D484" s="208">
        <f>IF(AC484="","",(1-$W$2)*(AC484/1.2))</f>
        <v>6625</v>
      </c>
      <c r="E484" s="209">
        <f>IF($W$5=0.2,D484*1.2,D484)/$W$4</f>
        <v>7950</v>
      </c>
      <c r="F484" s="208">
        <f>IF(AD484="","",(1-$W$2)*(AD484/1.2))</f>
        <v>6625</v>
      </c>
      <c r="G484" s="209">
        <f>IF($W$5=0.2,F484*1.2,F484)/$W$4</f>
        <v>7950</v>
      </c>
      <c r="H484" s="208"/>
      <c r="I484" s="210"/>
      <c r="J484" s="208"/>
      <c r="K484" s="210"/>
      <c r="L484" s="208"/>
      <c r="M484" s="210"/>
      <c r="N484" s="208"/>
      <c r="O484" s="210"/>
      <c r="P484" s="208"/>
      <c r="Q484" s="210"/>
      <c r="R484" s="208"/>
      <c r="S484" s="210"/>
      <c r="T484" s="208"/>
      <c r="U484" s="210"/>
      <c r="V484" s="208"/>
      <c r="W484" s="210"/>
      <c r="X484" s="191"/>
      <c r="AB484" s="195" t="str">
        <f>C484</f>
        <v>Premium</v>
      </c>
      <c r="AC484" s="219">
        <v>7950</v>
      </c>
      <c r="AD484" s="219">
        <v>7950</v>
      </c>
      <c r="AE484" s="219"/>
      <c r="AF484" s="219"/>
      <c r="AG484" s="219"/>
      <c r="AH484" s="219"/>
      <c r="AN484" s="192"/>
      <c r="AO484" s="192"/>
      <c r="AP484" s="192"/>
      <c r="AQ484" s="192"/>
      <c r="AR484" s="192"/>
      <c r="AS484" s="192"/>
      <c r="AT484" s="192"/>
    </row>
    <row r="485" spans="2:46" x14ac:dyDescent="0.25">
      <c r="B485" s="187"/>
      <c r="C485" s="1"/>
      <c r="D485" s="186"/>
      <c r="E485" s="186"/>
      <c r="F485" s="186"/>
      <c r="G485" s="186"/>
      <c r="H485" s="186"/>
      <c r="I485" s="186"/>
      <c r="J485" s="186"/>
      <c r="K485" s="186"/>
      <c r="L485" s="186"/>
      <c r="M485" s="200"/>
      <c r="N485" s="186"/>
      <c r="O485" s="186"/>
      <c r="P485" s="186"/>
      <c r="Q485" s="186"/>
      <c r="R485" s="186"/>
      <c r="S485" s="186"/>
      <c r="T485" s="186"/>
      <c r="U485" s="186"/>
      <c r="V485" s="186"/>
      <c r="W485" s="186"/>
      <c r="X485" s="186"/>
    </row>
    <row r="486" spans="2:46" x14ac:dyDescent="0.25">
      <c r="B486" s="211" t="str">
        <f>IF($C$1="ENG","For additonal charge:","Послуги за додаткову плату:")</f>
        <v>Послуги за додаткову плату:</v>
      </c>
      <c r="C486" s="212"/>
      <c r="D486" s="213"/>
      <c r="E486" s="214" t="str">
        <f>CONCATENATE(B479," ",C479)</f>
        <v>ЦІНА з ПДВ</v>
      </c>
      <c r="F486" s="215"/>
      <c r="G486" s="215"/>
      <c r="H486" s="215"/>
      <c r="I486" s="215"/>
      <c r="J486" s="215"/>
      <c r="K486" s="215"/>
      <c r="L486" s="215"/>
      <c r="M486" s="215"/>
      <c r="N486" s="215"/>
      <c r="O486" s="215"/>
      <c r="P486" s="215"/>
      <c r="Q486" s="215"/>
      <c r="R486" s="215"/>
      <c r="S486" s="215"/>
      <c r="T486" s="215"/>
      <c r="U486" s="215"/>
      <c r="V486" s="215"/>
      <c r="W486" s="215"/>
      <c r="X486" s="186"/>
    </row>
    <row r="487" spans="2:46" x14ac:dyDescent="0.25">
      <c r="B487" s="187"/>
      <c r="C487" s="1"/>
      <c r="D487" s="186"/>
      <c r="E487" s="186"/>
      <c r="F487" s="186"/>
      <c r="G487" s="186"/>
      <c r="H487" s="186"/>
      <c r="I487" s="186"/>
      <c r="J487" s="186"/>
      <c r="K487" s="186"/>
      <c r="L487" s="186"/>
      <c r="M487" s="186"/>
      <c r="N487" s="186"/>
      <c r="O487" s="186"/>
      <c r="P487" s="186"/>
      <c r="Q487" s="186"/>
      <c r="R487" s="186"/>
      <c r="S487" s="186"/>
      <c r="T487" s="186"/>
      <c r="U487" s="186"/>
      <c r="V487" s="186"/>
      <c r="W487" s="186"/>
      <c r="X487" s="186"/>
    </row>
    <row r="488" spans="2:46" ht="15" customHeight="1" x14ac:dyDescent="0.25">
      <c r="B488" s="224"/>
      <c r="C488" s="223" t="str">
        <f>IF($C$1="ENG","door leaf with width 100","полотно розміром 100")</f>
        <v>полотно розміром 100</v>
      </c>
      <c r="D488" s="236">
        <f>IF(AC488="","",(1-$W$2)*(AC488/1.2))</f>
        <v>691.66666666666674</v>
      </c>
      <c r="E488" s="227">
        <f>IF($W$5=0.2,D488*1.2,D488)/$W$4</f>
        <v>830.00000000000011</v>
      </c>
      <c r="F488" s="191"/>
      <c r="G488" s="229"/>
      <c r="H488" s="224"/>
      <c r="I488" s="223" t="str">
        <f>IF($C$1="ENG","door lock Soft","замок Soft")</f>
        <v>замок Soft</v>
      </c>
      <c r="J488" s="238">
        <f>IF(AF488="","",(1-$W$2)*(AF488/1.2))</f>
        <v>525</v>
      </c>
      <c r="K488" s="227">
        <f>IF($W$5=0.2,J488*1.2,J488)/$W$4</f>
        <v>630</v>
      </c>
      <c r="L488" s="191"/>
      <c r="M488" s="229"/>
      <c r="N488" s="224"/>
      <c r="O488" s="223" t="str">
        <f>IF($C$1="ENG","cylinder incert","циліндр несиметричний")</f>
        <v>циліндр несиметричний</v>
      </c>
      <c r="P488" s="236">
        <f>IF(AI488="","",(1-$W$2)*(AI488/1.2))</f>
        <v>375</v>
      </c>
      <c r="Q488" s="227">
        <f>IF($W$5=0.2,P488*1.2,P488)/$W$4</f>
        <v>450</v>
      </c>
      <c r="R488" s="186"/>
      <c r="S488" s="186"/>
      <c r="T488" s="186"/>
      <c r="U488" s="186"/>
      <c r="V488" s="186"/>
      <c r="W488" s="186"/>
      <c r="X488" s="186"/>
      <c r="AC488" s="218">
        <v>830</v>
      </c>
      <c r="AF488" s="218">
        <v>630</v>
      </c>
      <c r="AI488" s="218">
        <v>450</v>
      </c>
    </row>
    <row r="489" spans="2:46" ht="15" customHeight="1" x14ac:dyDescent="0.25">
      <c r="B489" s="225"/>
      <c r="C489" s="222" t="str">
        <f>IF($C$1="ENG","Ventilation cut","вентиляційний підріз")</f>
        <v>вентиляційний підріз</v>
      </c>
      <c r="D489" s="237">
        <f>IF(AC489="","",(1-$W$2)*(AC489/1.2))</f>
        <v>162.5</v>
      </c>
      <c r="E489" s="228">
        <f>IF($W$5=0.2,D489*1.2,D489)/$W$4</f>
        <v>195</v>
      </c>
      <c r="F489" s="191"/>
      <c r="G489" s="230"/>
      <c r="H489" s="225"/>
      <c r="I489" s="222" t="str">
        <f>IF($C$1="ENG","door lock Soft black","замок Soft чорн.")</f>
        <v>замок Soft чорн.</v>
      </c>
      <c r="J489" s="239">
        <f>IF(AF489="","",(1-$W$2)*(AF489/1.2))</f>
        <v>650</v>
      </c>
      <c r="K489" s="228">
        <f>IF($W$5=0.2,J489*1.2,J489)/$W$4</f>
        <v>780</v>
      </c>
      <c r="L489" s="191"/>
      <c r="M489" s="230"/>
      <c r="N489" s="225"/>
      <c r="O489" s="222" t="str">
        <f>IF($C$1="ENG","door hindge Prestige (1 unit)","завіса Prestige (1 шт)")</f>
        <v>завіса Prestige (1 шт)</v>
      </c>
      <c r="P489" s="240">
        <f>IF(AI489="","",(1-$W$2)*(AI489/1.2))</f>
        <v>250</v>
      </c>
      <c r="Q489" s="228">
        <f>IF($W$5=0.2,P489*1.2,P489)/$W$4</f>
        <v>300</v>
      </c>
      <c r="R489" s="186"/>
      <c r="S489" s="186"/>
      <c r="T489" s="186"/>
      <c r="U489" s="186"/>
      <c r="V489" s="186"/>
      <c r="W489" s="186"/>
      <c r="X489" s="186"/>
      <c r="AC489" s="218">
        <v>195</v>
      </c>
      <c r="AF489" s="218">
        <v>780</v>
      </c>
      <c r="AI489" s="218">
        <v>300</v>
      </c>
    </row>
    <row r="490" spans="2:46" ht="15" customHeight="1" x14ac:dyDescent="0.25">
      <c r="B490" s="225"/>
      <c r="C490" s="222" t="str">
        <f>IF($C$1="ENG","glazing Graphite / Bronze","скло Графіт / Бронза")</f>
        <v>скло Графіт / Бронза</v>
      </c>
      <c r="D490" s="237">
        <f>IF(AC490="","",(1-$W$2)*(AC490/1.2))</f>
        <v>525</v>
      </c>
      <c r="E490" s="228">
        <f>IF($W$5=0.2,D490*1.2,D490)/$W$4</f>
        <v>630</v>
      </c>
      <c r="F490" s="191"/>
      <c r="G490" s="230"/>
      <c r="H490" s="225"/>
      <c r="I490" s="222" t="str">
        <f>IF($C$1="ENG","door lock Magnet","замок Magnet")</f>
        <v>замок Magnet</v>
      </c>
      <c r="J490" s="239">
        <f>IF(AF490="","",(1-$W$2)*(AF490/1.2))</f>
        <v>766.66666666666674</v>
      </c>
      <c r="K490" s="228">
        <f>IF($W$5=0.2,J490*1.2,J490)/$W$4</f>
        <v>920.00000000000011</v>
      </c>
      <c r="L490" s="191"/>
      <c r="M490" s="230"/>
      <c r="N490" s="225"/>
      <c r="O490" s="222" t="str">
        <f>IF($C$1="ENG","door hinge caps (1 set)","накладка на завіси (1 к-т)")</f>
        <v>накладка на завіси (1 к-т)</v>
      </c>
      <c r="P490" s="240">
        <f>IF(AI490="","",(1-$W$2)*(AI490/1.2))</f>
        <v>75</v>
      </c>
      <c r="Q490" s="228">
        <f>IF($W$5=0.2,P490*1.2,P490)/$W$4</f>
        <v>90</v>
      </c>
      <c r="R490" s="186"/>
      <c r="S490" s="186"/>
      <c r="T490" s="186"/>
      <c r="U490" s="186"/>
      <c r="V490" s="186"/>
      <c r="W490" s="186"/>
      <c r="X490" s="186"/>
      <c r="AC490" s="218">
        <v>630</v>
      </c>
      <c r="AF490" s="218">
        <v>920</v>
      </c>
      <c r="AI490" s="218">
        <v>90</v>
      </c>
    </row>
    <row r="491" spans="2:46" s="8" customFormat="1" ht="15" customHeight="1" x14ac:dyDescent="0.25">
      <c r="B491" s="225"/>
      <c r="C491" s="222" t="str">
        <f>IF($C$1="ENG","glazing Lacobel black ","скло Lacobel чорне")</f>
        <v>скло Lacobel чорне</v>
      </c>
      <c r="D491" s="237">
        <f>IF(AC491="","",(1-$W$2)*(AC491/1.2))</f>
        <v>525</v>
      </c>
      <c r="E491" s="228">
        <f>IF($W$5=0.2,D491*1.2,D491)/$W$4</f>
        <v>630</v>
      </c>
      <c r="F491" s="184"/>
      <c r="G491" s="231"/>
      <c r="H491" s="226"/>
      <c r="I491" s="222" t="str">
        <f>IF($C$1="ENG","door lock Magnet black","замок Magnet чорн.")</f>
        <v>замок Magnet чорн.</v>
      </c>
      <c r="J491" s="239">
        <f>IF(AF491="","",(1-$W$2)*(AF491/1.2))</f>
        <v>958.33333333333337</v>
      </c>
      <c r="K491" s="228">
        <f>IF($W$5=0.2,J491*1.2,J491)/$W$4</f>
        <v>1150</v>
      </c>
      <c r="L491" s="220"/>
      <c r="M491" s="233"/>
      <c r="N491" s="226"/>
      <c r="O491" s="222" t="str">
        <f>IF($C$1="ENG","door handle","дверна ручка")</f>
        <v>дверна ручка</v>
      </c>
      <c r="P491" s="237">
        <f>IF(AI491="","",(1-$W$2)*(AI491/1.2))</f>
        <v>0</v>
      </c>
      <c r="Q491" s="235" t="str">
        <f>IF($C$1="ENG","see Handles Price","див. Таблицю Ручки")</f>
        <v>див. Таблицю Ручки</v>
      </c>
      <c r="AC491" s="218">
        <v>630</v>
      </c>
      <c r="AF491" s="218">
        <v>1150</v>
      </c>
      <c r="AI491" s="218">
        <v>0</v>
      </c>
      <c r="AN491" s="123"/>
      <c r="AO491" s="123"/>
      <c r="AP491" s="123"/>
      <c r="AQ491" s="123"/>
      <c r="AR491" s="123"/>
      <c r="AS491" s="123"/>
      <c r="AT491" s="123"/>
    </row>
    <row r="492" spans="2:46" ht="15" customHeight="1" x14ac:dyDescent="0.25">
      <c r="C492" s="1"/>
      <c r="F492" s="221"/>
      <c r="G492" s="232"/>
      <c r="H492" s="225"/>
      <c r="I492" s="222" t="str">
        <f>IF($C$1="ENG","door handle-lock (for sliding doors)","ручка-замок (для дверей купе)")</f>
        <v>ручка-замок (для дверей купе)</v>
      </c>
      <c r="J492" s="237">
        <f>IF(AF492="","",(1-$W$2)*(AF492/1.2))</f>
        <v>533.33333333333337</v>
      </c>
      <c r="K492" s="228">
        <f>IF($W$5=0.2,J492*1.2,J492)/$W$4</f>
        <v>640</v>
      </c>
      <c r="L492" s="190"/>
      <c r="AF492" s="218">
        <v>640</v>
      </c>
      <c r="AI492" s="8"/>
      <c r="AN492" s="1"/>
    </row>
    <row r="493" spans="2:46" x14ac:dyDescent="0.25">
      <c r="C493" s="110"/>
      <c r="D493" s="21"/>
      <c r="E493" s="21"/>
      <c r="F493" s="21"/>
      <c r="G493" s="21"/>
      <c r="H493" s="5"/>
    </row>
    <row r="494" spans="2:46" x14ac:dyDescent="0.25">
      <c r="C494" s="110"/>
      <c r="D494" s="21"/>
      <c r="E494" s="21"/>
      <c r="F494" s="21"/>
      <c r="G494" s="21"/>
      <c r="H494" s="5"/>
    </row>
    <row r="495" spans="2:46" x14ac:dyDescent="0.25">
      <c r="C495" s="110"/>
      <c r="D495" s="21"/>
      <c r="E495" s="21"/>
      <c r="F495" s="21"/>
      <c r="G495" s="21"/>
      <c r="H495" s="5"/>
    </row>
    <row r="496" spans="2:46" x14ac:dyDescent="0.25">
      <c r="C496" s="110"/>
      <c r="D496" s="21"/>
      <c r="E496" s="21"/>
      <c r="F496" s="21"/>
      <c r="G496" s="21"/>
      <c r="H496" s="5"/>
    </row>
    <row r="497" spans="2:46" s="8" customFormat="1" ht="24.9" customHeight="1" x14ac:dyDescent="0.25">
      <c r="B497" s="246" t="str">
        <f>TITLE!$C$24</f>
        <v>Полотна збірні: LADA-CONCEPT</v>
      </c>
      <c r="C497" s="244"/>
      <c r="D497" s="245"/>
      <c r="E497" s="245"/>
      <c r="F497" s="216"/>
      <c r="G497" s="216"/>
      <c r="H497" s="216"/>
      <c r="I497" s="217"/>
      <c r="J497" s="217"/>
      <c r="K497" s="217"/>
      <c r="L497" s="217"/>
      <c r="M497" s="217"/>
      <c r="N497" s="217"/>
      <c r="O497" s="217"/>
      <c r="P497" s="217"/>
      <c r="Q497" s="217"/>
      <c r="R497" s="217"/>
      <c r="S497" s="217"/>
      <c r="T497" s="217" t="str">
        <f>IF($C$1="ENG",CONCATENATE("up to: ",B465),CONCATENATE("вгору до: ",B465))</f>
        <v>вгору до: Полотна збірні: LISA</v>
      </c>
      <c r="U497" s="217"/>
      <c r="V497" s="217"/>
      <c r="W497" s="217"/>
      <c r="X497" s="185"/>
      <c r="AN497" s="123"/>
      <c r="AO497" s="123"/>
      <c r="AP497" s="123"/>
      <c r="AQ497" s="123"/>
      <c r="AR497" s="123"/>
      <c r="AS497" s="123"/>
      <c r="AT497" s="123"/>
    </row>
    <row r="498" spans="2:46" s="8" customFormat="1" x14ac:dyDescent="0.25">
      <c r="B498" s="83"/>
      <c r="C498" s="162"/>
      <c r="D498" s="247"/>
      <c r="E498" s="247"/>
      <c r="F498" s="247"/>
      <c r="G498" s="247"/>
      <c r="H498" s="10"/>
      <c r="I498" s="264"/>
      <c r="T498" s="90"/>
      <c r="U498" s="90"/>
      <c r="V498" s="90"/>
      <c r="W498" s="90"/>
      <c r="AN498" s="123"/>
      <c r="AO498" s="123"/>
      <c r="AP498" s="123"/>
      <c r="AQ498" s="123"/>
      <c r="AR498" s="123"/>
      <c r="AS498" s="123"/>
      <c r="AT498" s="123"/>
    </row>
    <row r="499" spans="2:46" x14ac:dyDescent="0.25">
      <c r="B499" s="186"/>
      <c r="C499" s="193" t="str">
        <f>IF($C$1="ENG","model:","модель:")</f>
        <v>модель:</v>
      </c>
      <c r="D499" s="186"/>
      <c r="E499" s="196" t="s">
        <v>25</v>
      </c>
      <c r="F499" s="188"/>
      <c r="G499" s="196" t="s">
        <v>19</v>
      </c>
      <c r="H499" s="188"/>
      <c r="I499" s="196" t="s">
        <v>20</v>
      </c>
      <c r="J499" s="188"/>
      <c r="K499" s="196" t="s">
        <v>8</v>
      </c>
      <c r="L499" s="188"/>
      <c r="M499" s="196" t="s">
        <v>9</v>
      </c>
      <c r="N499" s="188"/>
      <c r="O499" s="196" t="s">
        <v>10</v>
      </c>
      <c r="P499" s="186"/>
      <c r="Q499" s="186"/>
      <c r="R499" s="186"/>
      <c r="S499" s="186"/>
      <c r="T499" s="186"/>
      <c r="U499" s="186"/>
      <c r="V499" s="186"/>
      <c r="W499" s="186"/>
      <c r="X499" s="186"/>
    </row>
    <row r="500" spans="2:46" x14ac:dyDescent="0.25">
      <c r="B500" s="186"/>
      <c r="C500" s="187"/>
      <c r="D500" s="186"/>
      <c r="E500" s="197"/>
      <c r="F500" s="186"/>
      <c r="G500" s="197"/>
      <c r="H500" s="186"/>
      <c r="I500" s="197"/>
      <c r="J500" s="186"/>
      <c r="K500" s="197"/>
      <c r="L500" s="186"/>
      <c r="M500" s="197"/>
      <c r="N500" s="186"/>
      <c r="O500" s="197"/>
      <c r="P500" s="186"/>
      <c r="Q500" s="186"/>
      <c r="R500" s="186"/>
      <c r="S500" s="186"/>
      <c r="T500" s="186"/>
      <c r="U500" s="186"/>
      <c r="V500" s="186"/>
      <c r="W500" s="186"/>
      <c r="X500" s="186"/>
    </row>
    <row r="501" spans="2:46" x14ac:dyDescent="0.25">
      <c r="B501" s="186"/>
      <c r="C501" s="187"/>
      <c r="D501" s="186"/>
      <c r="E501" s="197"/>
      <c r="F501" s="186"/>
      <c r="G501" s="197"/>
      <c r="H501" s="186"/>
      <c r="I501" s="197"/>
      <c r="J501" s="186"/>
      <c r="K501" s="197"/>
      <c r="L501" s="186"/>
      <c r="M501" s="197"/>
      <c r="N501" s="186"/>
      <c r="O501" s="197"/>
      <c r="P501" s="186"/>
      <c r="Q501" s="186"/>
      <c r="R501" s="186"/>
      <c r="S501" s="186"/>
      <c r="T501" s="186"/>
      <c r="U501" s="186"/>
      <c r="V501" s="186"/>
      <c r="W501" s="186"/>
      <c r="X501" s="186"/>
    </row>
    <row r="502" spans="2:46" x14ac:dyDescent="0.25">
      <c r="B502" s="186"/>
      <c r="C502" s="187"/>
      <c r="D502" s="186"/>
      <c r="E502" s="197"/>
      <c r="F502" s="186"/>
      <c r="G502" s="197"/>
      <c r="H502" s="186"/>
      <c r="I502" s="197"/>
      <c r="J502" s="186"/>
      <c r="K502" s="197"/>
      <c r="L502" s="186"/>
      <c r="M502" s="197"/>
      <c r="N502" s="186"/>
      <c r="O502" s="197"/>
      <c r="P502" s="186"/>
      <c r="Q502" s="186"/>
      <c r="R502" s="186"/>
      <c r="S502" s="186"/>
      <c r="T502" s="186"/>
      <c r="U502" s="186"/>
      <c r="V502" s="186"/>
      <c r="W502" s="186"/>
      <c r="X502" s="186"/>
    </row>
    <row r="503" spans="2:46" x14ac:dyDescent="0.25">
      <c r="B503" s="186"/>
      <c r="C503" s="187"/>
      <c r="D503" s="186"/>
      <c r="E503" s="197"/>
      <c r="F503" s="186"/>
      <c r="G503" s="197"/>
      <c r="H503" s="186"/>
      <c r="I503" s="197"/>
      <c r="J503" s="186"/>
      <c r="K503" s="197"/>
      <c r="L503" s="186"/>
      <c r="M503" s="197"/>
      <c r="N503" s="186"/>
      <c r="O503" s="197"/>
      <c r="P503" s="186"/>
      <c r="Q503" s="186"/>
      <c r="R503" s="186"/>
      <c r="S503" s="186"/>
      <c r="T503" s="186"/>
      <c r="U503" s="186"/>
      <c r="V503" s="186"/>
      <c r="W503" s="186"/>
      <c r="X503" s="186"/>
    </row>
    <row r="504" spans="2:46" x14ac:dyDescent="0.25">
      <c r="B504" s="186"/>
      <c r="C504" s="187"/>
      <c r="D504" s="186"/>
      <c r="E504" s="197"/>
      <c r="F504" s="186"/>
      <c r="G504" s="197"/>
      <c r="H504" s="186"/>
      <c r="I504" s="197"/>
      <c r="J504" s="186"/>
      <c r="K504" s="197"/>
      <c r="L504" s="186"/>
      <c r="M504" s="197"/>
      <c r="N504" s="186"/>
      <c r="O504" s="197"/>
      <c r="P504" s="186"/>
      <c r="Q504" s="186"/>
      <c r="R504" s="186"/>
      <c r="S504" s="186"/>
      <c r="T504" s="186"/>
      <c r="U504" s="186"/>
      <c r="V504" s="186"/>
      <c r="W504" s="186"/>
      <c r="X504" s="186"/>
    </row>
    <row r="505" spans="2:46" x14ac:dyDescent="0.25">
      <c r="B505" s="186"/>
      <c r="C505" s="187"/>
      <c r="D505" s="186"/>
      <c r="E505" s="197"/>
      <c r="F505" s="186"/>
      <c r="G505" s="197"/>
      <c r="H505" s="186"/>
      <c r="I505" s="197"/>
      <c r="J505" s="186"/>
      <c r="K505" s="197"/>
      <c r="L505" s="186"/>
      <c r="M505" s="197"/>
      <c r="N505" s="186"/>
      <c r="O505" s="197"/>
      <c r="P505" s="186"/>
      <c r="Q505" s="186"/>
      <c r="R505" s="186"/>
      <c r="S505" s="186"/>
      <c r="T505" s="186"/>
      <c r="U505" s="186"/>
      <c r="V505" s="186"/>
      <c r="W505" s="186"/>
      <c r="X505" s="186"/>
    </row>
    <row r="506" spans="2:46" x14ac:dyDescent="0.25">
      <c r="B506" s="186"/>
      <c r="C506" s="187"/>
      <c r="D506" s="186"/>
      <c r="E506" s="197"/>
      <c r="F506" s="186"/>
      <c r="G506" s="197"/>
      <c r="H506" s="186"/>
      <c r="I506" s="197"/>
      <c r="J506" s="186"/>
      <c r="K506" s="197"/>
      <c r="L506" s="186"/>
      <c r="M506" s="197"/>
      <c r="N506" s="186"/>
      <c r="O506" s="197"/>
      <c r="P506" s="186"/>
      <c r="Q506" s="186"/>
      <c r="R506" s="186"/>
      <c r="S506" s="186"/>
      <c r="T506" s="186"/>
      <c r="U506" s="186"/>
      <c r="V506" s="186"/>
      <c r="W506" s="186"/>
      <c r="X506" s="186"/>
    </row>
    <row r="507" spans="2:46" x14ac:dyDescent="0.25">
      <c r="B507" s="186"/>
      <c r="C507" s="1"/>
      <c r="D507" s="186"/>
      <c r="E507" s="197"/>
      <c r="F507" s="186"/>
      <c r="G507" s="197"/>
      <c r="H507" s="186"/>
      <c r="I507" s="197"/>
      <c r="J507" s="186"/>
      <c r="K507" s="197"/>
      <c r="L507" s="186"/>
      <c r="M507" s="197"/>
      <c r="N507" s="186"/>
      <c r="O507" s="197"/>
      <c r="P507" s="186"/>
      <c r="Q507" s="186"/>
      <c r="R507" s="186"/>
      <c r="S507" s="186"/>
      <c r="T507" s="186"/>
      <c r="U507" s="186"/>
      <c r="V507" s="186"/>
      <c r="W507" s="186"/>
      <c r="X507" s="186"/>
    </row>
    <row r="508" spans="2:46" x14ac:dyDescent="0.25">
      <c r="B508" s="186"/>
      <c r="C508" s="187" t="str">
        <f>IF($C$1="ENG","filling:","заповнення:")</f>
        <v>заповнення:</v>
      </c>
      <c r="D508" s="186"/>
      <c r="E508" s="198" t="str">
        <f>IF($C$1="ENG","softwood","клеєний брус")</f>
        <v>клеєний брус</v>
      </c>
      <c r="F508" s="189"/>
      <c r="G508" s="198" t="str">
        <f>IF($C$1="ENG","softwood","клеєний брус")</f>
        <v>клеєний брус</v>
      </c>
      <c r="H508" s="189"/>
      <c r="I508" s="198" t="str">
        <f>IF($C$1="ENG","softwood","клеєний брус")</f>
        <v>клеєний брус</v>
      </c>
      <c r="J508" s="189"/>
      <c r="K508" s="198" t="str">
        <f>IF($C$1="ENG","softwood","клеєний брус")</f>
        <v>клеєний брус</v>
      </c>
      <c r="L508" s="189"/>
      <c r="M508" s="198" t="str">
        <f>IF($C$1="ENG","softwood","клеєний брус")</f>
        <v>клеєний брус</v>
      </c>
      <c r="N508" s="189"/>
      <c r="O508" s="198" t="str">
        <f>IF($C$1="ENG","softwood","клеєний брус")</f>
        <v>клеєний брус</v>
      </c>
      <c r="P508" s="186"/>
      <c r="Q508" s="186"/>
      <c r="R508" s="186"/>
      <c r="S508" s="186"/>
      <c r="T508" s="186"/>
      <c r="U508" s="186"/>
      <c r="V508" s="186"/>
      <c r="W508" s="186"/>
      <c r="X508" s="186"/>
    </row>
    <row r="509" spans="2:46" x14ac:dyDescent="0.25">
      <c r="B509" s="186"/>
      <c r="C509" s="187" t="str">
        <f>IF($C$1="ENG","glazing:","скління:")</f>
        <v>скління:</v>
      </c>
      <c r="D509" s="186"/>
      <c r="E509" s="198" t="str">
        <f>IF($C$1="ENG","Satin","Сатин")</f>
        <v>Сатин</v>
      </c>
      <c r="F509" s="189"/>
      <c r="G509" s="198" t="str">
        <f>IF($C$1="ENG","Satin","Сатин")</f>
        <v>Сатин</v>
      </c>
      <c r="H509" s="189"/>
      <c r="I509" s="198" t="str">
        <f>IF($C$1="ENG","Satin","Сатин")</f>
        <v>Сатин</v>
      </c>
      <c r="J509" s="189"/>
      <c r="K509" s="198" t="str">
        <f>IF($C$1="ENG","Sandblasted","Піскоструминне")</f>
        <v>Піскоструминне</v>
      </c>
      <c r="L509" s="189"/>
      <c r="M509" s="198" t="str">
        <f>IF($C$1="ENG","Sandblasted","Піскоструминне")</f>
        <v>Піскоструминне</v>
      </c>
      <c r="N509" s="189"/>
      <c r="O509" s="198" t="str">
        <f>IF($C$1="ENG","Sandblasted","Піскоструминне")</f>
        <v>Піскоструминне</v>
      </c>
      <c r="P509" s="186"/>
      <c r="Q509" s="186"/>
      <c r="R509" s="186"/>
      <c r="S509" s="186"/>
      <c r="T509" s="186"/>
      <c r="U509" s="186"/>
      <c r="V509" s="186"/>
      <c r="W509" s="186"/>
      <c r="X509" s="186"/>
    </row>
    <row r="510" spans="2:46" x14ac:dyDescent="0.25">
      <c r="D510" s="199"/>
      <c r="E510" s="197"/>
      <c r="F510" s="200"/>
      <c r="G510" s="197"/>
      <c r="H510" s="200"/>
      <c r="I510" s="197"/>
      <c r="J510" s="200"/>
      <c r="K510" s="197"/>
      <c r="L510" s="200"/>
      <c r="M510" s="197"/>
      <c r="N510" s="200"/>
      <c r="O510" s="197"/>
      <c r="P510" s="200"/>
      <c r="Q510" s="200"/>
      <c r="R510" s="200"/>
      <c r="S510" s="200"/>
      <c r="T510" s="200"/>
      <c r="U510" s="200"/>
      <c r="V510" s="200"/>
      <c r="W510" s="200"/>
      <c r="X510" s="186"/>
    </row>
    <row r="511" spans="2:46" s="190" customFormat="1" ht="15" customHeight="1" x14ac:dyDescent="0.25">
      <c r="B511" s="241" t="str">
        <f>IF($C$1="ENG","PRICE","ЦІНА")</f>
        <v>ЦІНА</v>
      </c>
      <c r="C511" s="242" t="str">
        <f>IF($C$1="ENG",IF($W$5=0.2,"with VAT","no VAT"),IF($W$5=0.2,"з ПДВ","без ПДВ"))</f>
        <v>з ПДВ</v>
      </c>
      <c r="D511" s="191"/>
      <c r="E511" s="243"/>
      <c r="F511" s="191"/>
      <c r="G511" s="243"/>
      <c r="H511" s="191"/>
      <c r="I511" s="243"/>
      <c r="J511" s="191"/>
      <c r="K511" s="243"/>
      <c r="L511" s="191"/>
      <c r="M511" s="243"/>
      <c r="N511" s="191"/>
      <c r="O511" s="243"/>
      <c r="P511" s="191"/>
      <c r="Q511" s="191"/>
      <c r="R511" s="191"/>
      <c r="S511" s="191"/>
      <c r="T511" s="191"/>
      <c r="U511" s="191"/>
      <c r="V511" s="191"/>
      <c r="W511" s="191"/>
      <c r="X511" s="191"/>
      <c r="AN511" s="192"/>
      <c r="AO511" s="192"/>
      <c r="AP511" s="192"/>
      <c r="AQ511" s="192"/>
      <c r="AR511" s="192"/>
      <c r="AS511" s="192"/>
      <c r="AT511" s="192"/>
    </row>
    <row r="512" spans="2:46" s="190" customFormat="1" ht="24.9" customHeight="1" x14ac:dyDescent="0.25">
      <c r="B512" s="201" t="str">
        <f>IF($C$1="ENG","Cover:","Покриття:")</f>
        <v>Покриття:</v>
      </c>
      <c r="C512" s="202" t="str">
        <f>IF($C$1="ENG","Verto-CELL","Verto-CELL")</f>
        <v>Verto-CELL</v>
      </c>
      <c r="D512" s="203">
        <f>IF(AC512="","",(1-$W$2)*(AC512/1.2))</f>
        <v>5383.3333333333339</v>
      </c>
      <c r="E512" s="204">
        <f>IF($W$5=0.2,D512*1.2,D512)/$W$4</f>
        <v>6460.0000000000009</v>
      </c>
      <c r="F512" s="203">
        <f>IF(AD512="","",(1-$W$2)*(AD512/1.2))</f>
        <v>5575</v>
      </c>
      <c r="G512" s="204">
        <f>IF($W$5=0.2,F512*1.2,F512)/$W$4</f>
        <v>6690</v>
      </c>
      <c r="H512" s="203">
        <f>IF(AE512="","",(1-$W$2)*(AE512/1.2))</f>
        <v>5879.166666666667</v>
      </c>
      <c r="I512" s="204">
        <f>IF($W$5=0.2,H512*1.2,H512)/$W$4</f>
        <v>7055</v>
      </c>
      <c r="J512" s="203">
        <f>IF(AF512="","",(1-$W$2)*(AF512/1.2))</f>
        <v>5575</v>
      </c>
      <c r="K512" s="204">
        <f>IF($W$5=0.2,J512*1.2,J512)/$W$4</f>
        <v>6690</v>
      </c>
      <c r="L512" s="203">
        <f>IF(AG512="","",(1-$W$2)*(AG512/1.2))</f>
        <v>5304.166666666667</v>
      </c>
      <c r="M512" s="204">
        <f>IF($W$5=0.2,L512*1.2,L512)/$W$4</f>
        <v>6365</v>
      </c>
      <c r="N512" s="203">
        <f>IF(AH512="","",(1-$W$2)*(AH512/1.2))</f>
        <v>5025</v>
      </c>
      <c r="O512" s="204">
        <f>IF($W$5=0.2,N512*1.2,N512)/$W$4</f>
        <v>6030</v>
      </c>
      <c r="P512" s="203"/>
      <c r="Q512" s="205"/>
      <c r="R512" s="203"/>
      <c r="S512" s="205"/>
      <c r="T512" s="203"/>
      <c r="U512" s="205"/>
      <c r="V512" s="203"/>
      <c r="W512" s="205"/>
      <c r="X512" s="191"/>
      <c r="AB512" s="195" t="str">
        <f>C512</f>
        <v>Verto-CELL</v>
      </c>
      <c r="AC512" s="219">
        <v>6460</v>
      </c>
      <c r="AD512" s="219">
        <v>6690</v>
      </c>
      <c r="AE512" s="219">
        <v>7055</v>
      </c>
      <c r="AF512" s="219">
        <v>6690</v>
      </c>
      <c r="AG512" s="219">
        <v>6365</v>
      </c>
      <c r="AH512" s="219">
        <v>6030</v>
      </c>
      <c r="AN512" s="192"/>
      <c r="AO512" s="192"/>
      <c r="AP512" s="192"/>
      <c r="AQ512" s="192"/>
      <c r="AR512" s="192"/>
      <c r="AS512" s="192"/>
      <c r="AT512" s="192"/>
    </row>
    <row r="513" spans="2:46" s="190" customFormat="1" ht="24.9" customHeight="1" x14ac:dyDescent="0.25">
      <c r="B513" s="254"/>
      <c r="C513" s="255" t="str">
        <f>IF($C$1="ENG","UNI-MAT","UNI-MAT")</f>
        <v>UNI-MAT</v>
      </c>
      <c r="D513" s="256">
        <f>IF(AC513="","",(1-$W$2)*(AC513/1.2))</f>
        <v>5966.666666666667</v>
      </c>
      <c r="E513" s="257">
        <f>IF($W$5=0.2,D513*1.2,D513)/$W$4</f>
        <v>7160</v>
      </c>
      <c r="F513" s="256">
        <f>IF(AD513="","",(1-$W$2)*(AD513/1.2))</f>
        <v>6200</v>
      </c>
      <c r="G513" s="257">
        <f>IF($W$5=0.2,F513*1.2,F513)/$W$4</f>
        <v>7440</v>
      </c>
      <c r="H513" s="256">
        <f>IF(AE513="","",(1-$W$2)*(AE513/1.2))</f>
        <v>6525</v>
      </c>
      <c r="I513" s="257">
        <f>IF($W$5=0.2,H513*1.2,H513)/$W$4</f>
        <v>7830</v>
      </c>
      <c r="J513" s="256">
        <f>IF(AF513="","",(1-$W$2)*(AF513/1.2))</f>
        <v>6200</v>
      </c>
      <c r="K513" s="257">
        <f>IF($W$5=0.2,J513*1.2,J513)/$W$4</f>
        <v>7440</v>
      </c>
      <c r="L513" s="256">
        <f>IF(AG513="","",(1-$W$2)*(AG513/1.2))</f>
        <v>5883.3333333333339</v>
      </c>
      <c r="M513" s="257">
        <f>IF($W$5=0.2,L513*1.2,L513)/$W$4</f>
        <v>7060.0000000000009</v>
      </c>
      <c r="N513" s="256">
        <f>IF(AH513="","",(1-$W$2)*(AH513/1.2))</f>
        <v>5566.666666666667</v>
      </c>
      <c r="O513" s="257">
        <f>IF($W$5=0.2,N513*1.2,N513)/$W$4</f>
        <v>6680</v>
      </c>
      <c r="P513" s="256"/>
      <c r="Q513" s="258"/>
      <c r="R513" s="256"/>
      <c r="S513" s="258"/>
      <c r="T513" s="256"/>
      <c r="U513" s="258"/>
      <c r="V513" s="256"/>
      <c r="W513" s="258"/>
      <c r="X513" s="191"/>
      <c r="AB513" s="195" t="str">
        <f>C513</f>
        <v>UNI-MAT</v>
      </c>
      <c r="AC513" s="219">
        <v>7160</v>
      </c>
      <c r="AD513" s="219">
        <v>7440</v>
      </c>
      <c r="AE513" s="219">
        <v>7830</v>
      </c>
      <c r="AF513" s="219">
        <v>7440</v>
      </c>
      <c r="AG513" s="219">
        <v>7060</v>
      </c>
      <c r="AH513" s="219">
        <v>6680</v>
      </c>
      <c r="AN513" s="192"/>
      <c r="AO513" s="192"/>
      <c r="AP513" s="192"/>
      <c r="AQ513" s="192"/>
      <c r="AR513" s="192"/>
      <c r="AS513" s="192"/>
      <c r="AT513" s="192"/>
    </row>
    <row r="514" spans="2:46" s="190" customFormat="1" ht="24.9" customHeight="1" x14ac:dyDescent="0.25">
      <c r="B514" s="254"/>
      <c r="C514" s="255" t="str">
        <f>IF($C$1="ENG","RESIST","RESIST")</f>
        <v>RESIST</v>
      </c>
      <c r="D514" s="256">
        <f>IF(AC514="","",(1-$W$2)*(AC514/1.2))</f>
        <v>6150</v>
      </c>
      <c r="E514" s="257">
        <f>IF($W$5=0.2,D514*1.2,D514)/$W$4</f>
        <v>7380</v>
      </c>
      <c r="F514" s="256">
        <f>IF(AD514="","",(1-$W$2)*(AD514/1.2))</f>
        <v>6391.666666666667</v>
      </c>
      <c r="G514" s="257">
        <f>IF($W$5=0.2,F514*1.2,F514)/$W$4</f>
        <v>7670</v>
      </c>
      <c r="H514" s="256">
        <f>IF(AE514="","",(1-$W$2)*(AE514/1.2))</f>
        <v>6725</v>
      </c>
      <c r="I514" s="257">
        <f>IF($W$5=0.2,H514*1.2,H514)/$W$4</f>
        <v>8070</v>
      </c>
      <c r="J514" s="256">
        <f>IF(AF514="","",(1-$W$2)*(AF514/1.2))</f>
        <v>6391.666666666667</v>
      </c>
      <c r="K514" s="257">
        <f>IF($W$5=0.2,J514*1.2,J514)/$W$4</f>
        <v>7670</v>
      </c>
      <c r="L514" s="256">
        <f>IF(AG514="","",(1-$W$2)*(AG514/1.2))</f>
        <v>6066.666666666667</v>
      </c>
      <c r="M514" s="257">
        <f>IF($W$5=0.2,L514*1.2,L514)/$W$4</f>
        <v>7280</v>
      </c>
      <c r="N514" s="256">
        <f>IF(AH514="","",(1-$W$2)*(AH514/1.2))</f>
        <v>5758.3333333333339</v>
      </c>
      <c r="O514" s="257">
        <f>IF($W$5=0.2,N514*1.2,N514)/$W$4</f>
        <v>6910.0000000000009</v>
      </c>
      <c r="P514" s="256"/>
      <c r="Q514" s="258"/>
      <c r="R514" s="256"/>
      <c r="S514" s="258"/>
      <c r="T514" s="256"/>
      <c r="U514" s="258"/>
      <c r="V514" s="256"/>
      <c r="W514" s="258"/>
      <c r="X514" s="191"/>
      <c r="AB514" s="195" t="str">
        <f>C514</f>
        <v>RESIST</v>
      </c>
      <c r="AC514" s="219">
        <v>7380</v>
      </c>
      <c r="AD514" s="219">
        <v>7670</v>
      </c>
      <c r="AE514" s="219">
        <v>8070</v>
      </c>
      <c r="AF514" s="219">
        <v>7670</v>
      </c>
      <c r="AG514" s="219">
        <v>7280</v>
      </c>
      <c r="AH514" s="219">
        <v>6910</v>
      </c>
      <c r="AN514" s="192"/>
      <c r="AO514" s="192"/>
      <c r="AP514" s="192"/>
      <c r="AQ514" s="192"/>
      <c r="AR514" s="192"/>
      <c r="AS514" s="192"/>
      <c r="AT514" s="192"/>
    </row>
    <row r="515" spans="2:46" s="190" customFormat="1" ht="24.9" customHeight="1" x14ac:dyDescent="0.25">
      <c r="B515" s="254"/>
      <c r="C515" s="255" t="str">
        <f>IF($C$1="ENG","Verto LINE-3D","Verto LINE-3D")</f>
        <v>Verto LINE-3D</v>
      </c>
      <c r="D515" s="256">
        <f>IF(AC515="","",(1-$W$2)*(AC515/1.2))</f>
        <v>6708.3333333333339</v>
      </c>
      <c r="E515" s="257">
        <f>IF($W$5=0.2,D515*1.2,D515)/$W$4</f>
        <v>8050</v>
      </c>
      <c r="F515" s="256">
        <f>IF(AD515="","",(1-$W$2)*(AD515/1.2))</f>
        <v>6841.666666666667</v>
      </c>
      <c r="G515" s="257">
        <f>IF($W$5=0.2,F515*1.2,F515)/$W$4</f>
        <v>8210</v>
      </c>
      <c r="H515" s="256">
        <f>IF(AE515="","",(1-$W$2)*(AE515/1.2))</f>
        <v>7483.3333333333339</v>
      </c>
      <c r="I515" s="257">
        <f>IF($W$5=0.2,H515*1.2,H515)/$W$4</f>
        <v>8980</v>
      </c>
      <c r="J515" s="256">
        <f>IF(AF515="","",(1-$W$2)*(AF515/1.2))</f>
        <v>6841.666666666667</v>
      </c>
      <c r="K515" s="257">
        <f>IF($W$5=0.2,J515*1.2,J515)/$W$4</f>
        <v>8210</v>
      </c>
      <c r="L515" s="256">
        <f>IF(AG515="","",(1-$W$2)*(AG515/1.2))</f>
        <v>6550</v>
      </c>
      <c r="M515" s="257">
        <f>IF($W$5=0.2,L515*1.2,L515)/$W$4</f>
        <v>7860</v>
      </c>
      <c r="N515" s="256">
        <f>IF(AH515="","",(1-$W$2)*(AH515/1.2))</f>
        <v>6150</v>
      </c>
      <c r="O515" s="257">
        <f>IF($W$5=0.2,N515*1.2,N515)/$W$4</f>
        <v>7380</v>
      </c>
      <c r="P515" s="256"/>
      <c r="Q515" s="258"/>
      <c r="R515" s="256"/>
      <c r="S515" s="258"/>
      <c r="T515" s="256"/>
      <c r="U515" s="258"/>
      <c r="V515" s="256"/>
      <c r="W515" s="258"/>
      <c r="X515" s="191"/>
      <c r="AB515" s="195" t="str">
        <f>C515</f>
        <v>Verto LINE-3D</v>
      </c>
      <c r="AC515" s="219">
        <v>8050</v>
      </c>
      <c r="AD515" s="219">
        <v>8210</v>
      </c>
      <c r="AE515" s="219">
        <v>8980</v>
      </c>
      <c r="AF515" s="219">
        <v>8210</v>
      </c>
      <c r="AG515" s="219">
        <v>7860</v>
      </c>
      <c r="AH515" s="219">
        <v>7380</v>
      </c>
      <c r="AN515" s="192"/>
      <c r="AO515" s="192"/>
      <c r="AP515" s="192"/>
      <c r="AQ515" s="192"/>
      <c r="AR515" s="192"/>
      <c r="AS515" s="192"/>
      <c r="AT515" s="192"/>
    </row>
    <row r="516" spans="2:46" s="190" customFormat="1" ht="24.9" customHeight="1" x14ac:dyDescent="0.25">
      <c r="B516" s="206"/>
      <c r="C516" s="207" t="str">
        <f>IF($C$1="ENG","Premium","Premium")</f>
        <v>Premium</v>
      </c>
      <c r="D516" s="208">
        <f>IF(AC516="","",(1-$W$2)*(AC516/1.2))</f>
        <v>7033.3333333333339</v>
      </c>
      <c r="E516" s="209">
        <f>IF($W$5=0.2,D516*1.2,D516)/$W$4</f>
        <v>8440</v>
      </c>
      <c r="F516" s="208">
        <f>IF(AD516="","",(1-$W$2)*(AD516/1.2))</f>
        <v>7150</v>
      </c>
      <c r="G516" s="209">
        <f>IF($W$5=0.2,F516*1.2,F516)/$W$4</f>
        <v>8580</v>
      </c>
      <c r="H516" s="208">
        <f>IF(AE516="","",(1-$W$2)*(AE516/1.2))</f>
        <v>7533.3333333333339</v>
      </c>
      <c r="I516" s="209">
        <f>IF($W$5=0.2,H516*1.2,H516)/$W$4</f>
        <v>9040</v>
      </c>
      <c r="J516" s="208">
        <f>IF(AF516="","",(1-$W$2)*(AF516/1.2))</f>
        <v>7150</v>
      </c>
      <c r="K516" s="209">
        <f>IF($W$5=0.2,J516*1.2,J516)/$W$4</f>
        <v>8580</v>
      </c>
      <c r="L516" s="208">
        <f>IF(AG516="","",(1-$W$2)*(AG516/1.2))</f>
        <v>6850</v>
      </c>
      <c r="M516" s="209">
        <f>IF($W$5=0.2,L516*1.2,L516)/$W$4</f>
        <v>8220</v>
      </c>
      <c r="N516" s="208">
        <f>IF(AH516="","",(1-$W$2)*(AH516/1.2))</f>
        <v>6408.3333333333339</v>
      </c>
      <c r="O516" s="209">
        <f>IF($W$5=0.2,N516*1.2,N516)/$W$4</f>
        <v>7690</v>
      </c>
      <c r="P516" s="208"/>
      <c r="Q516" s="210"/>
      <c r="R516" s="208"/>
      <c r="S516" s="210"/>
      <c r="T516" s="208"/>
      <c r="U516" s="210"/>
      <c r="V516" s="208"/>
      <c r="W516" s="210"/>
      <c r="X516" s="191"/>
      <c r="AB516" s="195" t="str">
        <f>C516</f>
        <v>Premium</v>
      </c>
      <c r="AC516" s="219">
        <v>8440</v>
      </c>
      <c r="AD516" s="219">
        <v>8580</v>
      </c>
      <c r="AE516" s="219">
        <v>9040</v>
      </c>
      <c r="AF516" s="219">
        <v>8580</v>
      </c>
      <c r="AG516" s="219">
        <v>8220</v>
      </c>
      <c r="AH516" s="219">
        <v>7690</v>
      </c>
      <c r="AN516" s="192"/>
      <c r="AO516" s="192"/>
      <c r="AP516" s="192"/>
      <c r="AQ516" s="192"/>
      <c r="AR516" s="192"/>
      <c r="AS516" s="192"/>
      <c r="AT516" s="192"/>
    </row>
    <row r="517" spans="2:46" x14ac:dyDescent="0.25">
      <c r="B517" s="187"/>
      <c r="C517" s="1"/>
      <c r="D517" s="186"/>
      <c r="E517" s="186"/>
      <c r="F517" s="186"/>
      <c r="G517" s="186"/>
      <c r="H517" s="186"/>
      <c r="I517" s="186"/>
      <c r="J517" s="186"/>
      <c r="K517" s="186"/>
      <c r="L517" s="186"/>
      <c r="M517" s="200"/>
      <c r="N517" s="186"/>
      <c r="O517" s="186"/>
      <c r="P517" s="186"/>
      <c r="Q517" s="186"/>
      <c r="R517" s="186"/>
      <c r="S517" s="186"/>
      <c r="T517" s="186"/>
      <c r="U517" s="186"/>
      <c r="V517" s="186"/>
      <c r="W517" s="186"/>
      <c r="X517" s="186"/>
    </row>
    <row r="518" spans="2:46" x14ac:dyDescent="0.25">
      <c r="B518" s="211" t="str">
        <f>IF($C$1="ENG","For additonal charge:","Послуги за додаткову плату:")</f>
        <v>Послуги за додаткову плату:</v>
      </c>
      <c r="C518" s="212"/>
      <c r="D518" s="213"/>
      <c r="E518" s="214" t="str">
        <f>CONCATENATE(B511," ",C511)</f>
        <v>ЦІНА з ПДВ</v>
      </c>
      <c r="F518" s="215"/>
      <c r="G518" s="215"/>
      <c r="H518" s="215"/>
      <c r="I518" s="215"/>
      <c r="J518" s="215"/>
      <c r="K518" s="215"/>
      <c r="L518" s="215"/>
      <c r="M518" s="215"/>
      <c r="N518" s="215"/>
      <c r="O518" s="215"/>
      <c r="P518" s="215"/>
      <c r="Q518" s="215"/>
      <c r="R518" s="215"/>
      <c r="S518" s="215"/>
      <c r="T518" s="215"/>
      <c r="U518" s="215"/>
      <c r="V518" s="215"/>
      <c r="W518" s="215"/>
      <c r="X518" s="186"/>
    </row>
    <row r="519" spans="2:46" x14ac:dyDescent="0.25">
      <c r="B519" s="187"/>
      <c r="C519" s="1"/>
      <c r="D519" s="186"/>
      <c r="E519" s="186"/>
      <c r="F519" s="186"/>
      <c r="G519" s="186"/>
      <c r="H519" s="186"/>
      <c r="I519" s="186"/>
      <c r="J519" s="186"/>
      <c r="K519" s="186"/>
      <c r="L519" s="186"/>
      <c r="M519" s="186"/>
      <c r="N519" s="186"/>
      <c r="O519" s="186"/>
      <c r="P519" s="186"/>
      <c r="Q519" s="186"/>
      <c r="R519" s="186"/>
      <c r="S519" s="186"/>
      <c r="T519" s="186"/>
      <c r="U519" s="186"/>
      <c r="V519" s="186"/>
      <c r="W519" s="186"/>
      <c r="X519" s="186"/>
    </row>
    <row r="520" spans="2:46" ht="15" customHeight="1" x14ac:dyDescent="0.25">
      <c r="B520" s="224"/>
      <c r="C520" s="223" t="str">
        <f>IF($C$1="ENG","door leaf with width 100","полотно розміром 100")</f>
        <v>полотно розміром 100</v>
      </c>
      <c r="D520" s="236">
        <f>IF(AC520="","",(1-$W$2)*(AC520/1.2))</f>
        <v>691.66666666666674</v>
      </c>
      <c r="E520" s="227">
        <f>IF($W$5=0.2,D520*1.2,D520)/$W$4</f>
        <v>830.00000000000011</v>
      </c>
      <c r="F520" s="191"/>
      <c r="G520" s="229"/>
      <c r="H520" s="224"/>
      <c r="I520" s="223" t="str">
        <f>IF($C$1="ENG","door lock Soft","замок Soft")</f>
        <v>замок Soft</v>
      </c>
      <c r="J520" s="238">
        <f>IF(AF520="","",(1-$W$2)*(AF520/1.2))</f>
        <v>525</v>
      </c>
      <c r="K520" s="227">
        <f>IF($W$5=0.2,J520*1.2,J520)/$W$4</f>
        <v>630</v>
      </c>
      <c r="L520" s="191"/>
      <c r="M520" s="229"/>
      <c r="N520" s="224"/>
      <c r="O520" s="223" t="str">
        <f>IF($C$1="ENG","cylinder incert","циліндр несиметричний")</f>
        <v>циліндр несиметричний</v>
      </c>
      <c r="P520" s="236">
        <f>IF(AI520="","",(1-$W$2)*(AI520/1.2))</f>
        <v>375</v>
      </c>
      <c r="Q520" s="227">
        <f>IF($W$5=0.2,P520*1.2,P520)/$W$4</f>
        <v>450</v>
      </c>
      <c r="R520" s="186"/>
      <c r="S520" s="186"/>
      <c r="T520" s="186"/>
      <c r="U520" s="186"/>
      <c r="V520" s="186"/>
      <c r="W520" s="186"/>
      <c r="X520" s="186"/>
      <c r="AC520" s="218">
        <v>830</v>
      </c>
      <c r="AF520" s="218">
        <v>630</v>
      </c>
      <c r="AI520" s="218">
        <v>450</v>
      </c>
    </row>
    <row r="521" spans="2:46" ht="15" customHeight="1" x14ac:dyDescent="0.25">
      <c r="B521" s="225"/>
      <c r="C521" s="222" t="str">
        <f>IF($C$1="ENG","Ventilation sleeves (1 row)","вентиляційні віддушини (1ряд)")</f>
        <v>вентиляційні віддушини (1ряд)</v>
      </c>
      <c r="D521" s="237">
        <f>IF(AC521="","",(1-$W$2)*(AC521/1.2))</f>
        <v>241.66666666666669</v>
      </c>
      <c r="E521" s="228">
        <f>IF($W$5=0.2,D521*1.2,D521)/$W$4</f>
        <v>290</v>
      </c>
      <c r="F521" s="191"/>
      <c r="G521" s="230"/>
      <c r="H521" s="225"/>
      <c r="I521" s="222" t="str">
        <f>IF($C$1="ENG","door lock Soft black","замок Soft чорн.")</f>
        <v>замок Soft чорн.</v>
      </c>
      <c r="J521" s="239">
        <f>IF(AF521="","",(1-$W$2)*(AF521/1.2))</f>
        <v>650</v>
      </c>
      <c r="K521" s="228">
        <f>IF($W$5=0.2,J521*1.2,J521)/$W$4</f>
        <v>780</v>
      </c>
      <c r="L521" s="191"/>
      <c r="M521" s="230"/>
      <c r="N521" s="225"/>
      <c r="O521" s="222" t="str">
        <f>IF($C$1="ENG","door hindge Prestige (1 unit)","завіса Prestige (1 шт)")</f>
        <v>завіса Prestige (1 шт)</v>
      </c>
      <c r="P521" s="240">
        <f>IF(AI521="","",(1-$W$2)*(AI521/1.2))</f>
        <v>250</v>
      </c>
      <c r="Q521" s="228">
        <f>IF($W$5=0.2,P521*1.2,P521)/$W$4</f>
        <v>300</v>
      </c>
      <c r="R521" s="186"/>
      <c r="S521" s="186"/>
      <c r="T521" s="186"/>
      <c r="U521" s="186"/>
      <c r="V521" s="186"/>
      <c r="W521" s="186"/>
      <c r="X521" s="186"/>
      <c r="AC521" s="218">
        <v>290</v>
      </c>
      <c r="AF521" s="218">
        <v>780</v>
      </c>
      <c r="AI521" s="218">
        <v>300</v>
      </c>
    </row>
    <row r="522" spans="2:46" ht="15" customHeight="1" x14ac:dyDescent="0.25">
      <c r="B522" s="225"/>
      <c r="C522" s="222" t="str">
        <f>IF($C$1="ENG","Ventilation cut","вентиляційний підріз")</f>
        <v>вентиляційний підріз</v>
      </c>
      <c r="D522" s="237">
        <f>IF(AC522="","",(1-$W$2)*(AC522/1.2))</f>
        <v>162.5</v>
      </c>
      <c r="E522" s="228">
        <f>IF($W$5=0.2,D522*1.2,D522)/$W$4</f>
        <v>195</v>
      </c>
      <c r="F522" s="191"/>
      <c r="G522" s="230"/>
      <c r="H522" s="225"/>
      <c r="I522" s="222" t="str">
        <f>IF($C$1="ENG","door lock Magnet","замок Magnet")</f>
        <v>замок Magnet</v>
      </c>
      <c r="J522" s="239">
        <f>IF(AF522="","",(1-$W$2)*(AF522/1.2))</f>
        <v>766.66666666666674</v>
      </c>
      <c r="K522" s="228">
        <f>IF($W$5=0.2,J522*1.2,J522)/$W$4</f>
        <v>920.00000000000011</v>
      </c>
      <c r="L522" s="191"/>
      <c r="M522" s="230"/>
      <c r="N522" s="225"/>
      <c r="O522" s="222" t="str">
        <f>IF($C$1="ENG","door hinge caps (1 set)","накладка на завіси (1 к-т)")</f>
        <v>накладка на завіси (1 к-т)</v>
      </c>
      <c r="P522" s="240">
        <f>IF(AI522="","",(1-$W$2)*(AI522/1.2))</f>
        <v>75</v>
      </c>
      <c r="Q522" s="228">
        <f>IF($W$5=0.2,P522*1.2,P522)/$W$4</f>
        <v>90</v>
      </c>
      <c r="R522" s="186"/>
      <c r="S522" s="186"/>
      <c r="T522" s="186"/>
      <c r="U522" s="186"/>
      <c r="V522" s="186"/>
      <c r="W522" s="186"/>
      <c r="X522" s="186"/>
      <c r="AC522" s="218">
        <v>195</v>
      </c>
      <c r="AF522" s="218">
        <v>920</v>
      </c>
      <c r="AI522" s="218">
        <v>90</v>
      </c>
    </row>
    <row r="523" spans="2:46" s="8" customFormat="1" ht="15" customHeight="1" x14ac:dyDescent="0.25">
      <c r="B523" s="225"/>
      <c r="C523" s="222" t="str">
        <f>IF($C$1="ENG","glazing Graphite / Bronze","скло Графіт / Бронза")</f>
        <v>скло Графіт / Бронза</v>
      </c>
      <c r="D523" s="237">
        <f>IF(AC523="","",(1-$W$2)*(AC523/1.2))</f>
        <v>525</v>
      </c>
      <c r="E523" s="228">
        <f>IF($W$5=0.2,D523*1.2,D523)/$W$4</f>
        <v>630</v>
      </c>
      <c r="F523" s="184"/>
      <c r="G523" s="231"/>
      <c r="H523" s="226"/>
      <c r="I523" s="222" t="str">
        <f>IF($C$1="ENG","door lock Magnet black","замок Magnet чорн.")</f>
        <v>замок Magnet чорн.</v>
      </c>
      <c r="J523" s="239">
        <f>IF(AF523="","",(1-$W$2)*(AF523/1.2))</f>
        <v>958.33333333333337</v>
      </c>
      <c r="K523" s="228">
        <f>IF($W$5=0.2,J523*1.2,J523)/$W$4</f>
        <v>1150</v>
      </c>
      <c r="L523" s="220"/>
      <c r="M523" s="233"/>
      <c r="N523" s="226"/>
      <c r="O523" s="222" t="str">
        <f>IF($C$1="ENG","door handle","дверна ручка")</f>
        <v>дверна ручка</v>
      </c>
      <c r="P523" s="237">
        <f>IF(AI523="","",(1-$W$2)*(AI523/1.2))</f>
        <v>0</v>
      </c>
      <c r="Q523" s="235" t="str">
        <f>IF($C$1="ENG","see Handles Price","див. Таблицю Ручки")</f>
        <v>див. Таблицю Ручки</v>
      </c>
      <c r="AC523" s="218">
        <v>630</v>
      </c>
      <c r="AF523" s="218">
        <v>1150</v>
      </c>
      <c r="AI523" s="218">
        <v>0</v>
      </c>
      <c r="AN523" s="123"/>
      <c r="AO523" s="123"/>
      <c r="AP523" s="123"/>
      <c r="AQ523" s="123"/>
      <c r="AR523" s="123"/>
      <c r="AS523" s="123"/>
      <c r="AT523" s="123"/>
    </row>
    <row r="524" spans="2:46" ht="15" customHeight="1" x14ac:dyDescent="0.25">
      <c r="B524" s="225"/>
      <c r="C524" s="222" t="str">
        <f>IF($C$1="ENG","glazing Lacobel black ","скло Lacobel чорне")</f>
        <v>скло Lacobel чорне</v>
      </c>
      <c r="D524" s="237">
        <f>IF(AC524="","",(1-$W$2)*(AC524/1.2))</f>
        <v>525</v>
      </c>
      <c r="E524" s="228">
        <f>IF($W$5=0.2,D524*1.2,D524)/$W$4</f>
        <v>630</v>
      </c>
      <c r="F524" s="221"/>
      <c r="G524" s="232"/>
      <c r="H524" s="225"/>
      <c r="I524" s="222" t="str">
        <f>IF($C$1="ENG","door handle-lock (for sliding doors)","ручка-замок (для дверей купе)")</f>
        <v>ручка-замок (для дверей купе)</v>
      </c>
      <c r="J524" s="237">
        <f>IF(AF524="","",(1-$W$2)*(AF524/1.2))</f>
        <v>533.33333333333337</v>
      </c>
      <c r="K524" s="228">
        <f>IF($W$5=0.2,J524*1.2,J524)/$W$4</f>
        <v>640</v>
      </c>
      <c r="L524" s="190"/>
      <c r="AC524" s="218">
        <v>630</v>
      </c>
      <c r="AF524" s="218">
        <v>640</v>
      </c>
      <c r="AI524" s="8"/>
      <c r="AN524" s="1"/>
    </row>
    <row r="525" spans="2:46" x14ac:dyDescent="0.25">
      <c r="C525" s="110"/>
      <c r="D525" s="21"/>
      <c r="E525" s="21"/>
      <c r="F525" s="21"/>
      <c r="G525" s="21"/>
      <c r="H525" s="5"/>
    </row>
    <row r="526" spans="2:46" ht="14.25" customHeight="1" x14ac:dyDescent="0.25">
      <c r="C526" s="110"/>
      <c r="D526" s="21"/>
      <c r="E526" s="21"/>
      <c r="F526" s="21"/>
      <c r="G526" s="21"/>
      <c r="H526" s="5"/>
    </row>
    <row r="527" spans="2:46" ht="14.25" customHeight="1" x14ac:dyDescent="0.25">
      <c r="C527" s="110"/>
      <c r="D527" s="21"/>
      <c r="E527" s="21"/>
      <c r="F527" s="21"/>
      <c r="G527" s="21"/>
      <c r="H527" s="5"/>
    </row>
    <row r="528" spans="2:46" ht="14.25" customHeight="1" x14ac:dyDescent="0.25">
      <c r="C528" s="110"/>
      <c r="D528" s="21"/>
      <c r="E528" s="21"/>
      <c r="F528" s="21"/>
      <c r="G528" s="21"/>
      <c r="H528" s="5"/>
    </row>
    <row r="529" spans="2:46" s="8" customFormat="1" ht="24.9" customHeight="1" x14ac:dyDescent="0.25">
      <c r="B529" s="246" t="str">
        <f>TITLE!$C$25</f>
        <v>Полотна збірні: LADA-NOVA</v>
      </c>
      <c r="C529" s="244"/>
      <c r="D529" s="245"/>
      <c r="E529" s="245"/>
      <c r="F529" s="216"/>
      <c r="G529" s="216"/>
      <c r="H529" s="216"/>
      <c r="I529" s="217"/>
      <c r="J529" s="217"/>
      <c r="K529" s="217"/>
      <c r="L529" s="217"/>
      <c r="M529" s="217"/>
      <c r="N529" s="217"/>
      <c r="O529" s="217"/>
      <c r="P529" s="217"/>
      <c r="Q529" s="217"/>
      <c r="R529" s="217"/>
      <c r="S529" s="217"/>
      <c r="T529" s="217"/>
      <c r="U529" s="217"/>
      <c r="V529" s="217"/>
      <c r="W529" s="217"/>
      <c r="X529" s="185"/>
      <c r="AE529" s="8">
        <f>Z529/100*12+Z529</f>
        <v>0</v>
      </c>
      <c r="AF529" s="8" t="e">
        <f>AE529/Z529-1</f>
        <v>#DIV/0!</v>
      </c>
      <c r="AN529" s="123"/>
      <c r="AO529" s="123"/>
      <c r="AP529" s="123"/>
      <c r="AQ529" s="123"/>
      <c r="AR529" s="123"/>
      <c r="AS529" s="123"/>
      <c r="AT529" s="123"/>
    </row>
    <row r="530" spans="2:46" s="8" customFormat="1" x14ac:dyDescent="0.25">
      <c r="B530" s="83"/>
      <c r="C530" s="162"/>
      <c r="D530" s="247"/>
      <c r="E530" s="247"/>
      <c r="F530" s="247"/>
      <c r="G530" s="247"/>
      <c r="H530" s="10"/>
      <c r="I530" s="264"/>
      <c r="T530" s="90"/>
      <c r="U530" s="90"/>
      <c r="V530" s="90"/>
      <c r="W530" s="90"/>
      <c r="AN530" s="123"/>
      <c r="AO530" s="123"/>
      <c r="AP530" s="123"/>
      <c r="AQ530" s="123"/>
      <c r="AR530" s="123"/>
      <c r="AS530" s="123"/>
      <c r="AT530" s="123"/>
    </row>
    <row r="531" spans="2:46" x14ac:dyDescent="0.25">
      <c r="B531" s="186"/>
      <c r="C531" s="193" t="str">
        <f>IF($C$1="ENG","model:","модель:")</f>
        <v>модель:</v>
      </c>
      <c r="D531" s="186"/>
      <c r="E531" s="196" t="s">
        <v>13</v>
      </c>
      <c r="F531" s="188"/>
      <c r="G531" s="196" t="s">
        <v>64</v>
      </c>
      <c r="H531" s="188"/>
      <c r="I531" s="196" t="s">
        <v>30</v>
      </c>
      <c r="J531" s="188"/>
      <c r="K531" s="196" t="s">
        <v>7</v>
      </c>
      <c r="L531" s="188"/>
      <c r="M531" s="196" t="s">
        <v>11</v>
      </c>
      <c r="N531" s="188"/>
      <c r="O531" s="196" t="s">
        <v>12</v>
      </c>
      <c r="P531" s="186"/>
      <c r="Q531" s="186"/>
      <c r="R531" s="186"/>
      <c r="S531" s="186"/>
      <c r="T531" s="186"/>
      <c r="U531" s="186"/>
      <c r="V531" s="186"/>
      <c r="W531" s="186"/>
      <c r="X531" s="186"/>
    </row>
    <row r="532" spans="2:46" x14ac:dyDescent="0.25">
      <c r="B532" s="186"/>
      <c r="C532" s="187"/>
      <c r="D532" s="186"/>
      <c r="E532" s="197"/>
      <c r="F532" s="186"/>
      <c r="G532" s="197"/>
      <c r="H532" s="186"/>
      <c r="I532" s="197"/>
      <c r="J532" s="186"/>
      <c r="K532" s="197"/>
      <c r="L532" s="186"/>
      <c r="M532" s="197"/>
      <c r="N532" s="186"/>
      <c r="O532" s="197"/>
      <c r="P532" s="186"/>
      <c r="Q532" s="186"/>
      <c r="R532" s="186"/>
      <c r="S532" s="186"/>
      <c r="T532" s="186"/>
      <c r="U532" s="186"/>
      <c r="V532" s="186"/>
      <c r="W532" s="186"/>
      <c r="X532" s="186"/>
    </row>
    <row r="533" spans="2:46" x14ac:dyDescent="0.25">
      <c r="B533" s="186"/>
      <c r="C533" s="187"/>
      <c r="D533" s="186"/>
      <c r="E533" s="197"/>
      <c r="F533" s="186"/>
      <c r="G533" s="197"/>
      <c r="H533" s="186"/>
      <c r="I533" s="197"/>
      <c r="J533" s="186"/>
      <c r="K533" s="197"/>
      <c r="L533" s="186"/>
      <c r="M533" s="197"/>
      <c r="N533" s="186"/>
      <c r="O533" s="197"/>
      <c r="P533" s="186"/>
      <c r="Q533" s="186"/>
      <c r="R533" s="186"/>
      <c r="S533" s="186"/>
      <c r="T533" s="186"/>
      <c r="U533" s="186"/>
      <c r="V533" s="186"/>
      <c r="W533" s="186"/>
      <c r="X533" s="186"/>
    </row>
    <row r="534" spans="2:46" x14ac:dyDescent="0.25">
      <c r="B534" s="186"/>
      <c r="C534" s="187"/>
      <c r="D534" s="186"/>
      <c r="E534" s="197"/>
      <c r="F534" s="186"/>
      <c r="G534" s="197"/>
      <c r="H534" s="186"/>
      <c r="I534" s="197"/>
      <c r="J534" s="186"/>
      <c r="K534" s="197"/>
      <c r="L534" s="186"/>
      <c r="M534" s="197"/>
      <c r="N534" s="186"/>
      <c r="O534" s="197"/>
      <c r="P534" s="186"/>
      <c r="Q534" s="186"/>
      <c r="R534" s="186"/>
      <c r="S534" s="186"/>
      <c r="T534" s="186"/>
      <c r="U534" s="186"/>
      <c r="V534" s="186"/>
      <c r="W534" s="186"/>
      <c r="X534" s="186"/>
    </row>
    <row r="535" spans="2:46" x14ac:dyDescent="0.25">
      <c r="B535" s="186"/>
      <c r="C535" s="187"/>
      <c r="D535" s="186"/>
      <c r="E535" s="197"/>
      <c r="F535" s="186"/>
      <c r="G535" s="197"/>
      <c r="H535" s="186"/>
      <c r="I535" s="197"/>
      <c r="J535" s="186"/>
      <c r="K535" s="197"/>
      <c r="L535" s="186"/>
      <c r="M535" s="197"/>
      <c r="N535" s="186"/>
      <c r="O535" s="197"/>
      <c r="P535" s="186"/>
      <c r="Q535" s="186"/>
      <c r="R535" s="186"/>
      <c r="S535" s="186"/>
      <c r="T535" s="186"/>
      <c r="U535" s="186"/>
      <c r="V535" s="186"/>
      <c r="W535" s="186"/>
      <c r="X535" s="186"/>
    </row>
    <row r="536" spans="2:46" x14ac:dyDescent="0.25">
      <c r="B536" s="186"/>
      <c r="C536" s="187"/>
      <c r="D536" s="186"/>
      <c r="E536" s="197"/>
      <c r="F536" s="186"/>
      <c r="G536" s="197"/>
      <c r="H536" s="186"/>
      <c r="I536" s="197"/>
      <c r="J536" s="186"/>
      <c r="K536" s="197"/>
      <c r="L536" s="186"/>
      <c r="M536" s="197"/>
      <c r="N536" s="186"/>
      <c r="O536" s="197"/>
      <c r="P536" s="186"/>
      <c r="Q536" s="186"/>
      <c r="R536" s="186"/>
      <c r="S536" s="186"/>
      <c r="T536" s="186"/>
      <c r="U536" s="186"/>
      <c r="V536" s="186"/>
      <c r="W536" s="186"/>
      <c r="X536" s="186"/>
    </row>
    <row r="537" spans="2:46" x14ac:dyDescent="0.25">
      <c r="B537" s="186"/>
      <c r="C537" s="187"/>
      <c r="D537" s="186"/>
      <c r="E537" s="197"/>
      <c r="F537" s="186"/>
      <c r="G537" s="197"/>
      <c r="H537" s="186"/>
      <c r="I537" s="197"/>
      <c r="J537" s="186"/>
      <c r="K537" s="197"/>
      <c r="L537" s="186"/>
      <c r="M537" s="197"/>
      <c r="N537" s="186"/>
      <c r="O537" s="197"/>
      <c r="P537" s="186"/>
      <c r="Q537" s="186"/>
      <c r="R537" s="186"/>
      <c r="S537" s="186"/>
      <c r="T537" s="186"/>
      <c r="U537" s="186"/>
      <c r="V537" s="186"/>
      <c r="W537" s="186"/>
      <c r="X537" s="186"/>
    </row>
    <row r="538" spans="2:46" x14ac:dyDescent="0.25">
      <c r="B538" s="186"/>
      <c r="C538" s="187"/>
      <c r="D538" s="186"/>
      <c r="E538" s="197"/>
      <c r="F538" s="186"/>
      <c r="G538" s="197"/>
      <c r="H538" s="186"/>
      <c r="I538" s="197"/>
      <c r="J538" s="186"/>
      <c r="K538" s="197"/>
      <c r="L538" s="186"/>
      <c r="M538" s="197"/>
      <c r="N538" s="186"/>
      <c r="O538" s="197"/>
      <c r="P538" s="186"/>
      <c r="Q538" s="186"/>
      <c r="R538" s="186"/>
      <c r="S538" s="186"/>
      <c r="T538" s="186"/>
      <c r="U538" s="186"/>
      <c r="V538" s="186"/>
      <c r="W538" s="186"/>
      <c r="X538" s="186"/>
    </row>
    <row r="539" spans="2:46" x14ac:dyDescent="0.25">
      <c r="B539" s="186"/>
      <c r="C539" s="1"/>
      <c r="D539" s="186"/>
      <c r="E539" s="197"/>
      <c r="F539" s="186"/>
      <c r="G539" s="197"/>
      <c r="H539" s="186"/>
      <c r="I539" s="197"/>
      <c r="J539" s="186"/>
      <c r="K539" s="197"/>
      <c r="L539" s="186"/>
      <c r="M539" s="197"/>
      <c r="N539" s="186"/>
      <c r="O539" s="197"/>
      <c r="P539" s="186"/>
      <c r="Q539" s="186"/>
      <c r="R539" s="186"/>
      <c r="S539" s="186"/>
      <c r="T539" s="186"/>
      <c r="U539" s="186"/>
      <c r="V539" s="186"/>
      <c r="W539" s="186"/>
      <c r="X539" s="186"/>
    </row>
    <row r="540" spans="2:46" x14ac:dyDescent="0.25">
      <c r="B540" s="186"/>
      <c r="C540" s="187" t="str">
        <f>IF($C$1="ENG","filling:","заповнення:")</f>
        <v>заповнення:</v>
      </c>
      <c r="D540" s="186"/>
      <c r="E540" s="198" t="str">
        <f>IF($C$1="ENG","softwood","клеєний брус")</f>
        <v>клеєний брус</v>
      </c>
      <c r="F540" s="189"/>
      <c r="G540" s="198" t="str">
        <f>IF($C$1="ENG","softwood","клеєний брус")</f>
        <v>клеєний брус</v>
      </c>
      <c r="H540" s="189"/>
      <c r="I540" s="198" t="str">
        <f>IF($C$1="ENG","softwood","клеєний брус")</f>
        <v>клеєний брус</v>
      </c>
      <c r="J540" s="189"/>
      <c r="K540" s="198" t="str">
        <f>IF($C$1="ENG","softwood","клеєний брус")</f>
        <v>клеєний брус</v>
      </c>
      <c r="L540" s="189"/>
      <c r="M540" s="198" t="str">
        <f>IF($C$1="ENG","softwood","клеєний брус")</f>
        <v>клеєний брус</v>
      </c>
      <c r="N540" s="189"/>
      <c r="O540" s="198" t="str">
        <f>IF($C$1="ENG","softwood","клеєний брус")</f>
        <v>клеєний брус</v>
      </c>
      <c r="P540" s="186"/>
      <c r="Q540" s="186"/>
      <c r="R540" s="186"/>
      <c r="S540" s="186"/>
      <c r="T540" s="186"/>
      <c r="U540" s="186"/>
      <c r="V540" s="186"/>
      <c r="W540" s="186"/>
      <c r="X540" s="186"/>
    </row>
    <row r="541" spans="2:46" x14ac:dyDescent="0.25">
      <c r="B541" s="186"/>
      <c r="C541" s="187" t="str">
        <f>IF($C$1="ENG","glazing:","скління:")</f>
        <v>скління:</v>
      </c>
      <c r="D541" s="186"/>
      <c r="E541" s="198" t="str">
        <f>IF($C$1="ENG","Satin","Сатин")</f>
        <v>Сатин</v>
      </c>
      <c r="F541" s="189"/>
      <c r="G541" s="198" t="str">
        <f>IF($C$1="ENG","Satin","Сатин")</f>
        <v>Сатин</v>
      </c>
      <c r="H541" s="189"/>
      <c r="I541" s="198" t="str">
        <f>IF($C$1="ENG","Satin","Сатин")</f>
        <v>Сатин</v>
      </c>
      <c r="J541" s="189"/>
      <c r="K541" s="198" t="str">
        <f>IF($C$1="ENG","Satin","Сатин")</f>
        <v>Сатин</v>
      </c>
      <c r="L541" s="189"/>
      <c r="M541" s="198" t="str">
        <f>IF($C$1="ENG","Satin","Сатин")</f>
        <v>Сатин</v>
      </c>
      <c r="N541" s="189"/>
      <c r="O541" s="198" t="str">
        <f>IF($C$1="ENG","Satin","Сатин")</f>
        <v>Сатин</v>
      </c>
      <c r="P541" s="186"/>
      <c r="Q541" s="186"/>
      <c r="R541" s="186"/>
      <c r="S541" s="186"/>
      <c r="T541" s="186"/>
      <c r="U541" s="186"/>
      <c r="V541" s="186"/>
      <c r="W541" s="186"/>
      <c r="X541" s="186"/>
    </row>
    <row r="542" spans="2:46" x14ac:dyDescent="0.25">
      <c r="D542" s="199"/>
      <c r="E542" s="197"/>
      <c r="F542" s="200"/>
      <c r="G542" s="197"/>
      <c r="H542" s="200"/>
      <c r="I542" s="197"/>
      <c r="J542" s="200"/>
      <c r="K542" s="197"/>
      <c r="L542" s="200"/>
      <c r="M542" s="197"/>
      <c r="N542" s="200"/>
      <c r="O542" s="197"/>
      <c r="P542" s="200"/>
      <c r="Q542" s="200"/>
      <c r="R542" s="200"/>
      <c r="S542" s="200"/>
      <c r="T542" s="200"/>
      <c r="U542" s="200"/>
      <c r="V542" s="200"/>
      <c r="W542" s="200"/>
      <c r="X542" s="186"/>
    </row>
    <row r="543" spans="2:46" s="190" customFormat="1" ht="15" customHeight="1" x14ac:dyDescent="0.25">
      <c r="B543" s="241" t="str">
        <f>IF($C$1="ENG","PRICE","ЦІНА")</f>
        <v>ЦІНА</v>
      </c>
      <c r="C543" s="242" t="str">
        <f>IF($C$1="ENG",IF($W$5=0.2,"with VAT","no VAT"),IF($W$5=0.2,"з ПДВ","без ПДВ"))</f>
        <v>з ПДВ</v>
      </c>
      <c r="D543" s="191"/>
      <c r="E543" s="243"/>
      <c r="F543" s="191"/>
      <c r="G543" s="243"/>
      <c r="H543" s="191"/>
      <c r="I543" s="243"/>
      <c r="J543" s="191"/>
      <c r="K543" s="243"/>
      <c r="L543" s="191"/>
      <c r="M543" s="243"/>
      <c r="N543" s="191"/>
      <c r="O543" s="243"/>
      <c r="P543" s="191"/>
      <c r="Q543" s="191"/>
      <c r="R543" s="191"/>
      <c r="S543" s="191"/>
      <c r="T543" s="191"/>
      <c r="U543" s="191"/>
      <c r="V543" s="191"/>
      <c r="W543" s="191"/>
      <c r="X543" s="191"/>
      <c r="AN543" s="192"/>
      <c r="AO543" s="192"/>
      <c r="AP543" s="192"/>
      <c r="AQ543" s="192"/>
      <c r="AR543" s="192"/>
      <c r="AS543" s="192"/>
      <c r="AT543" s="192"/>
    </row>
    <row r="544" spans="2:46" s="190" customFormat="1" ht="24.9" customHeight="1" x14ac:dyDescent="0.25">
      <c r="B544" s="201" t="str">
        <f>IF($C$1="ENG","Cover:","Покриття:")</f>
        <v>Покриття:</v>
      </c>
      <c r="C544" s="202" t="str">
        <f>IF($C$1="ENG","Verto-CELL","Verto-CELL")</f>
        <v>Verto-CELL</v>
      </c>
      <c r="D544" s="203">
        <f>IF(AC544="","",(1-$W$2)*(AC544/1.2))</f>
        <v>6554.166666666667</v>
      </c>
      <c r="E544" s="204">
        <f>IF($W$5=0.2,D544*1.2,D544)/$W$4</f>
        <v>7865</v>
      </c>
      <c r="F544" s="203">
        <f>IF(AD544="","",(1-$W$2)*(AD544/1.2))</f>
        <v>5013.3333333333339</v>
      </c>
      <c r="G544" s="204">
        <f>IF($W$5=0.2,F544*1.2,F544)/$W$4</f>
        <v>6016.0000000000009</v>
      </c>
      <c r="H544" s="203">
        <f>IF(AE544="","",(1-$W$2)*(AE544/1.2))</f>
        <v>5816.666666666667</v>
      </c>
      <c r="I544" s="204">
        <f>IF($W$5=0.2,H544*1.2,H544)/$W$4</f>
        <v>6980</v>
      </c>
      <c r="J544" s="203">
        <f>IF(AF544="","",(1-$W$2)*(AF544/1.2))</f>
        <v>6379.166666666667</v>
      </c>
      <c r="K544" s="204">
        <f>IF($W$5=0.2,J544*1.2,J544)/$W$4</f>
        <v>7655</v>
      </c>
      <c r="L544" s="203">
        <f>IF(AG544="","",(1-$W$2)*(AG544/1.2))</f>
        <v>5816.666666666667</v>
      </c>
      <c r="M544" s="204">
        <f>IF($W$5=0.2,L544*1.2,L544)/$W$4</f>
        <v>6980</v>
      </c>
      <c r="N544" s="203">
        <f>IF(AH544="","",(1-$W$2)*(AH544/1.2))</f>
        <v>5816.666666666667</v>
      </c>
      <c r="O544" s="204">
        <f>IF($W$5=0.2,N544*1.2,N544)/$W$4</f>
        <v>6980</v>
      </c>
      <c r="P544" s="203"/>
      <c r="Q544" s="205"/>
      <c r="R544" s="203"/>
      <c r="S544" s="205"/>
      <c r="T544" s="203"/>
      <c r="U544" s="205"/>
      <c r="V544" s="203"/>
      <c r="W544" s="205"/>
      <c r="X544" s="191"/>
      <c r="AB544" s="195" t="str">
        <f>C544</f>
        <v>Verto-CELL</v>
      </c>
      <c r="AC544" s="219">
        <v>7865</v>
      </c>
      <c r="AD544" s="219">
        <v>6016</v>
      </c>
      <c r="AE544" s="219">
        <v>6980</v>
      </c>
      <c r="AF544" s="219">
        <v>7655</v>
      </c>
      <c r="AG544" s="219">
        <v>6980</v>
      </c>
      <c r="AH544" s="219">
        <v>6980</v>
      </c>
      <c r="AN544" s="192"/>
      <c r="AO544" s="192"/>
      <c r="AP544" s="192"/>
      <c r="AQ544" s="192"/>
      <c r="AR544" s="192"/>
      <c r="AS544" s="192"/>
      <c r="AT544" s="192"/>
    </row>
    <row r="545" spans="2:46" s="190" customFormat="1" ht="24.9" customHeight="1" x14ac:dyDescent="0.25">
      <c r="B545" s="254"/>
      <c r="C545" s="255" t="str">
        <f>IF($C$1="ENG","UNI-MAT","UNI-MAT")</f>
        <v>UNI-MAT</v>
      </c>
      <c r="D545" s="256">
        <f>IF(AC545="","",(1-$W$2)*(AC545/1.2))</f>
        <v>7283.3333333333339</v>
      </c>
      <c r="E545" s="257">
        <f>IF($W$5=0.2,D545*1.2,D545)/$W$4</f>
        <v>8740</v>
      </c>
      <c r="F545" s="256">
        <f>IF(AD545="","",(1-$W$2)*(AD545/1.2))</f>
        <v>5566.666666666667</v>
      </c>
      <c r="G545" s="257">
        <f>IF($W$5=0.2,F545*1.2,F545)/$W$4</f>
        <v>6680</v>
      </c>
      <c r="H545" s="256">
        <f>IF(AE545="","",(1-$W$2)*(AE545/1.2))</f>
        <v>6458.3333333333339</v>
      </c>
      <c r="I545" s="257">
        <f>IF($W$5=0.2,H545*1.2,H545)/$W$4</f>
        <v>7750</v>
      </c>
      <c r="J545" s="256">
        <f>IF(AF545="","",(1-$W$2)*(AF545/1.2))</f>
        <v>7083.3333333333339</v>
      </c>
      <c r="K545" s="257">
        <f>IF($W$5=0.2,J545*1.2,J545)/$W$4</f>
        <v>8500</v>
      </c>
      <c r="L545" s="256">
        <f>IF(AG545="","",(1-$W$2)*(AG545/1.2))</f>
        <v>6458.3333333333339</v>
      </c>
      <c r="M545" s="257">
        <f>IF($W$5=0.2,L545*1.2,L545)/$W$4</f>
        <v>7750</v>
      </c>
      <c r="N545" s="256">
        <f>IF(AH545="","",(1-$W$2)*(AH545/1.2))</f>
        <v>6458.3333333333339</v>
      </c>
      <c r="O545" s="257">
        <f>IF($W$5=0.2,N545*1.2,N545)/$W$4</f>
        <v>7750</v>
      </c>
      <c r="P545" s="256"/>
      <c r="Q545" s="258"/>
      <c r="R545" s="256"/>
      <c r="S545" s="258"/>
      <c r="T545" s="256"/>
      <c r="U545" s="258"/>
      <c r="V545" s="256"/>
      <c r="W545" s="258"/>
      <c r="X545" s="191"/>
      <c r="AB545" s="195" t="str">
        <f>C545</f>
        <v>UNI-MAT</v>
      </c>
      <c r="AC545" s="219">
        <v>8740</v>
      </c>
      <c r="AD545" s="219">
        <v>6680</v>
      </c>
      <c r="AE545" s="219">
        <v>7750</v>
      </c>
      <c r="AF545" s="219">
        <v>8500</v>
      </c>
      <c r="AG545" s="219">
        <v>7750</v>
      </c>
      <c r="AH545" s="219">
        <v>7750</v>
      </c>
      <c r="AN545" s="192"/>
      <c r="AO545" s="192"/>
      <c r="AP545" s="192"/>
      <c r="AQ545" s="192"/>
      <c r="AR545" s="192"/>
      <c r="AS545" s="192"/>
      <c r="AT545" s="192"/>
    </row>
    <row r="546" spans="2:46" s="190" customFormat="1" ht="24.9" customHeight="1" x14ac:dyDescent="0.25">
      <c r="B546" s="254"/>
      <c r="C546" s="255" t="str">
        <f>IF($C$1="ENG","RESIST","RESIST")</f>
        <v>RESIST</v>
      </c>
      <c r="D546" s="256">
        <f>IF(AC546="","",(1-$W$2)*(AC546/1.2))</f>
        <v>7566.666666666667</v>
      </c>
      <c r="E546" s="257">
        <f>IF($W$5=0.2,D546*1.2,D546)/$W$4</f>
        <v>9080</v>
      </c>
      <c r="F546" s="256">
        <f>IF(AD546="","",(1-$W$2)*(AD546/1.2))</f>
        <v>5883.3333333333339</v>
      </c>
      <c r="G546" s="257">
        <f>IF($W$5=0.2,F546*1.2,F546)/$W$4</f>
        <v>7060.0000000000009</v>
      </c>
      <c r="H546" s="256">
        <f>IF(AE546="","",(1-$W$2)*(AE546/1.2))</f>
        <v>6808.3333333333339</v>
      </c>
      <c r="I546" s="257">
        <f>IF($W$5=0.2,H546*1.2,H546)/$W$4</f>
        <v>8170</v>
      </c>
      <c r="J546" s="256">
        <f>IF(AF546="","",(1-$W$2)*(AF546/1.2))</f>
        <v>7541.666666666667</v>
      </c>
      <c r="K546" s="257">
        <f>IF($W$5=0.2,J546*1.2,J546)/$W$4</f>
        <v>9050</v>
      </c>
      <c r="L546" s="256">
        <f>IF(AG546="","",(1-$W$2)*(AG546/1.2))</f>
        <v>6808.3333333333339</v>
      </c>
      <c r="M546" s="257">
        <f>IF($W$5=0.2,L546*1.2,L546)/$W$4</f>
        <v>8170</v>
      </c>
      <c r="N546" s="256">
        <f>IF(AH546="","",(1-$W$2)*(AH546/1.2))</f>
        <v>6808.3333333333339</v>
      </c>
      <c r="O546" s="257">
        <f>IF($W$5=0.2,N546*1.2,N546)/$W$4</f>
        <v>8170</v>
      </c>
      <c r="P546" s="256"/>
      <c r="Q546" s="258"/>
      <c r="R546" s="256"/>
      <c r="S546" s="258"/>
      <c r="T546" s="256"/>
      <c r="U546" s="258"/>
      <c r="V546" s="256"/>
      <c r="W546" s="258"/>
      <c r="X546" s="191"/>
      <c r="AB546" s="195" t="str">
        <f>C546</f>
        <v>RESIST</v>
      </c>
      <c r="AC546" s="219">
        <v>9080</v>
      </c>
      <c r="AD546" s="219">
        <v>7060</v>
      </c>
      <c r="AE546" s="219">
        <v>8170</v>
      </c>
      <c r="AF546" s="219">
        <v>9050</v>
      </c>
      <c r="AG546" s="219">
        <v>8170</v>
      </c>
      <c r="AH546" s="219">
        <v>8170</v>
      </c>
      <c r="AN546" s="192"/>
      <c r="AO546" s="192"/>
      <c r="AP546" s="192"/>
      <c r="AQ546" s="192"/>
      <c r="AR546" s="192"/>
      <c r="AS546" s="192"/>
      <c r="AT546" s="192"/>
    </row>
    <row r="547" spans="2:46" s="190" customFormat="1" ht="24.9" customHeight="1" x14ac:dyDescent="0.25">
      <c r="B547" s="254"/>
      <c r="C547" s="255" t="str">
        <f>IF($C$1="ENG","Verto LINE-3D","Verto LINE-3D")</f>
        <v>Verto LINE-3D</v>
      </c>
      <c r="D547" s="256">
        <f>IF(AC547="","",(1-$W$2)*(AC547/1.2))</f>
        <v>8250</v>
      </c>
      <c r="E547" s="257">
        <f>IF($W$5=0.2,D547*1.2,D547)/$W$4</f>
        <v>9900</v>
      </c>
      <c r="F547" s="256">
        <f>IF(AD547="","",(1-$W$2)*(AD547/1.2))</f>
        <v>6308.3333333333339</v>
      </c>
      <c r="G547" s="257">
        <f>IF($W$5=0.2,F547*1.2,F547)/$W$4</f>
        <v>7570</v>
      </c>
      <c r="H547" s="256">
        <f>IF(AE547="","",(1-$W$2)*(AE547/1.2))</f>
        <v>7483.3333333333339</v>
      </c>
      <c r="I547" s="257">
        <f>IF($W$5=0.2,H547*1.2,H547)/$W$4</f>
        <v>8980</v>
      </c>
      <c r="J547" s="256">
        <f>IF(AF547="","",(1-$W$2)*(AF547/1.2))</f>
        <v>8308.3333333333339</v>
      </c>
      <c r="K547" s="257">
        <f>IF($W$5=0.2,J547*1.2,J547)/$W$4</f>
        <v>9970</v>
      </c>
      <c r="L547" s="256">
        <f>IF(AG547="","",(1-$W$2)*(AG547/1.2))</f>
        <v>7483.3333333333339</v>
      </c>
      <c r="M547" s="257">
        <f>IF($W$5=0.2,L547*1.2,L547)/$W$4</f>
        <v>8980</v>
      </c>
      <c r="N547" s="256">
        <f>IF(AH547="","",(1-$W$2)*(AH547/1.2))</f>
        <v>7483.3333333333339</v>
      </c>
      <c r="O547" s="257">
        <f>IF($W$5=0.2,N547*1.2,N547)/$W$4</f>
        <v>8980</v>
      </c>
      <c r="P547" s="256"/>
      <c r="Q547" s="258"/>
      <c r="R547" s="256"/>
      <c r="S547" s="258"/>
      <c r="T547" s="256"/>
      <c r="U547" s="258"/>
      <c r="V547" s="256"/>
      <c r="W547" s="258"/>
      <c r="X547" s="191"/>
      <c r="AB547" s="195" t="str">
        <f>C547</f>
        <v>Verto LINE-3D</v>
      </c>
      <c r="AC547" s="219">
        <v>9900</v>
      </c>
      <c r="AD547" s="219">
        <v>7570</v>
      </c>
      <c r="AE547" s="219">
        <v>8980</v>
      </c>
      <c r="AF547" s="219">
        <v>9970</v>
      </c>
      <c r="AG547" s="219">
        <v>8980</v>
      </c>
      <c r="AH547" s="219">
        <v>8980</v>
      </c>
      <c r="AN547" s="192"/>
      <c r="AO547" s="192"/>
      <c r="AP547" s="192"/>
      <c r="AQ547" s="192"/>
      <c r="AR547" s="192"/>
      <c r="AS547" s="192"/>
      <c r="AT547" s="192"/>
    </row>
    <row r="548" spans="2:46" s="190" customFormat="1" ht="24.9" customHeight="1" x14ac:dyDescent="0.25">
      <c r="B548" s="206"/>
      <c r="C548" s="207" t="str">
        <f>IF($C$1="ENG","Premium","Premium")</f>
        <v>Premium</v>
      </c>
      <c r="D548" s="208">
        <f>IF(AC548="","",(1-$W$2)*(AC548/1.2))</f>
        <v>8658.3333333333339</v>
      </c>
      <c r="E548" s="209">
        <f>IF($W$5=0.2,D548*1.2,D548)/$W$4</f>
        <v>10390</v>
      </c>
      <c r="F548" s="208">
        <f>IF(AD548="","",(1-$W$2)*(AD548/1.2))</f>
        <v>6600</v>
      </c>
      <c r="G548" s="209">
        <f>IF($W$5=0.2,F548*1.2,F548)/$W$4</f>
        <v>7920</v>
      </c>
      <c r="H548" s="208">
        <f>IF(AE548="","",(1-$W$2)*(AE548/1.2))</f>
        <v>7841.666666666667</v>
      </c>
      <c r="I548" s="209">
        <f>IF($W$5=0.2,H548*1.2,H548)/$W$4</f>
        <v>9410</v>
      </c>
      <c r="J548" s="208">
        <f>IF(AF548="","",(1-$W$2)*(AF548/1.2))</f>
        <v>8783.3333333333339</v>
      </c>
      <c r="K548" s="209">
        <f>IF($W$5=0.2,J548*1.2,J548)/$W$4</f>
        <v>10540</v>
      </c>
      <c r="L548" s="208">
        <f>IF(AG548="","",(1-$W$2)*(AG548/1.2))</f>
        <v>7841.666666666667</v>
      </c>
      <c r="M548" s="209">
        <f>IF($W$5=0.2,L548*1.2,L548)/$W$4</f>
        <v>9410</v>
      </c>
      <c r="N548" s="208">
        <f>IF(AH548="","",(1-$W$2)*(AH548/1.2))</f>
        <v>7841.666666666667</v>
      </c>
      <c r="O548" s="209">
        <f>IF($W$5=0.2,N548*1.2,N548)/$W$4</f>
        <v>9410</v>
      </c>
      <c r="P548" s="208"/>
      <c r="Q548" s="210"/>
      <c r="R548" s="208"/>
      <c r="S548" s="210"/>
      <c r="T548" s="208"/>
      <c r="U548" s="210"/>
      <c r="V548" s="208"/>
      <c r="W548" s="210"/>
      <c r="X548" s="191"/>
      <c r="AB548" s="195" t="str">
        <f>C548</f>
        <v>Premium</v>
      </c>
      <c r="AC548" s="219">
        <v>10390</v>
      </c>
      <c r="AD548" s="219">
        <v>7920</v>
      </c>
      <c r="AE548" s="219">
        <v>9410</v>
      </c>
      <c r="AF548" s="219">
        <v>10540</v>
      </c>
      <c r="AG548" s="219">
        <v>9410</v>
      </c>
      <c r="AH548" s="219">
        <v>9410</v>
      </c>
      <c r="AN548" s="192"/>
      <c r="AO548" s="192"/>
      <c r="AP548" s="192"/>
      <c r="AQ548" s="192"/>
      <c r="AR548" s="192"/>
      <c r="AS548" s="192"/>
      <c r="AT548" s="192"/>
    </row>
    <row r="549" spans="2:46" x14ac:dyDescent="0.25">
      <c r="B549" s="187"/>
      <c r="C549" s="1"/>
      <c r="D549" s="186"/>
      <c r="E549" s="186"/>
      <c r="F549" s="186"/>
      <c r="G549" s="186"/>
      <c r="H549" s="186"/>
      <c r="I549" s="186"/>
      <c r="J549" s="186"/>
      <c r="K549" s="186"/>
      <c r="L549" s="186"/>
      <c r="M549" s="200"/>
      <c r="N549" s="186"/>
      <c r="O549" s="186"/>
      <c r="P549" s="186"/>
      <c r="Q549" s="186"/>
      <c r="R549" s="186"/>
      <c r="S549" s="186"/>
      <c r="T549" s="186"/>
      <c r="U549" s="186"/>
      <c r="V549" s="186"/>
      <c r="W549" s="186"/>
      <c r="X549" s="186"/>
    </row>
    <row r="550" spans="2:46" x14ac:dyDescent="0.25">
      <c r="B550" s="211" t="str">
        <f>IF($C$1="ENG","For additonal charge:","Послуги за додаткову плату:")</f>
        <v>Послуги за додаткову плату:</v>
      </c>
      <c r="C550" s="212"/>
      <c r="D550" s="213"/>
      <c r="E550" s="214" t="str">
        <f>CONCATENATE(B543," ",C543)</f>
        <v>ЦІНА з ПДВ</v>
      </c>
      <c r="F550" s="215"/>
      <c r="G550" s="215"/>
      <c r="H550" s="215"/>
      <c r="I550" s="215"/>
      <c r="J550" s="215"/>
      <c r="K550" s="215"/>
      <c r="L550" s="215"/>
      <c r="M550" s="215"/>
      <c r="N550" s="215"/>
      <c r="O550" s="215"/>
      <c r="P550" s="215"/>
      <c r="Q550" s="215"/>
      <c r="R550" s="215"/>
      <c r="S550" s="215"/>
      <c r="T550" s="215"/>
      <c r="U550" s="215"/>
      <c r="V550" s="215"/>
      <c r="W550" s="215"/>
      <c r="X550" s="186"/>
    </row>
    <row r="551" spans="2:46" x14ac:dyDescent="0.25">
      <c r="B551" s="187"/>
      <c r="C551" s="1"/>
      <c r="D551" s="186"/>
      <c r="E551" s="186"/>
      <c r="F551" s="186"/>
      <c r="G551" s="186"/>
      <c r="H551" s="186"/>
      <c r="I551" s="186"/>
      <c r="J551" s="186"/>
      <c r="K551" s="186"/>
      <c r="L551" s="186"/>
      <c r="M551" s="186"/>
      <c r="N551" s="186"/>
      <c r="O551" s="186"/>
      <c r="P551" s="186"/>
      <c r="Q551" s="186"/>
      <c r="R551" s="186"/>
      <c r="S551" s="186"/>
      <c r="T551" s="186"/>
      <c r="U551" s="186"/>
      <c r="V551" s="186"/>
      <c r="W551" s="186"/>
      <c r="X551" s="186"/>
    </row>
    <row r="552" spans="2:46" ht="15" customHeight="1" x14ac:dyDescent="0.25">
      <c r="B552" s="224"/>
      <c r="C552" s="223" t="str">
        <f>IF($C$1="ENG","door leaf with width 100","полотно розміром 100")</f>
        <v>полотно розміром 100</v>
      </c>
      <c r="D552" s="236">
        <f>IF(AC552="","",(1-$W$2)*(AC552/1.2))</f>
        <v>691.66666666666674</v>
      </c>
      <c r="E552" s="227">
        <f>IF($W$5=0.2,D552*1.2,D552)/$W$4</f>
        <v>830.00000000000011</v>
      </c>
      <c r="F552" s="191"/>
      <c r="G552" s="229"/>
      <c r="H552" s="224"/>
      <c r="I552" s="223" t="str">
        <f>IF($C$1="ENG","door lock Soft","замок Soft")</f>
        <v>замок Soft</v>
      </c>
      <c r="J552" s="238">
        <f>IF(AF552="","",(1-$W$2)*(AF552/1.2))</f>
        <v>525</v>
      </c>
      <c r="K552" s="227">
        <f>IF($W$5=0.2,J552*1.2,J552)/$W$4</f>
        <v>630</v>
      </c>
      <c r="L552" s="191"/>
      <c r="M552" s="229"/>
      <c r="N552" s="224"/>
      <c r="O552" s="223" t="str">
        <f>IF($C$1="ENG","cylinder incert","циліндр несиметричний")</f>
        <v>циліндр несиметричний</v>
      </c>
      <c r="P552" s="236">
        <f>IF(AI552="","",(1-$W$2)*(AI552/1.2))</f>
        <v>375</v>
      </c>
      <c r="Q552" s="227">
        <f>IF($W$5=0.2,P552*1.2,P552)/$W$4</f>
        <v>450</v>
      </c>
      <c r="R552" s="186"/>
      <c r="S552" s="186"/>
      <c r="T552" s="186"/>
      <c r="U552" s="186"/>
      <c r="V552" s="186"/>
      <c r="W552" s="186"/>
      <c r="X552" s="186"/>
      <c r="AC552" s="218">
        <v>830</v>
      </c>
      <c r="AF552" s="218">
        <v>630</v>
      </c>
      <c r="AI552" s="218">
        <v>450</v>
      </c>
    </row>
    <row r="553" spans="2:46" ht="15" customHeight="1" x14ac:dyDescent="0.25">
      <c r="B553" s="225"/>
      <c r="C553" s="222" t="str">
        <f>IF($C$1="ENG","Ventilation sleeves (1 row)","вентиляційні віддушини (1ряд)")</f>
        <v>вентиляційні віддушини (1ряд)</v>
      </c>
      <c r="D553" s="237">
        <f>IF(AC553="","",(1-$W$2)*(AC553/1.2))</f>
        <v>241.66666666666669</v>
      </c>
      <c r="E553" s="228">
        <f>IF($W$5=0.2,D553*1.2,D553)/$W$4</f>
        <v>290</v>
      </c>
      <c r="F553" s="191"/>
      <c r="G553" s="230"/>
      <c r="H553" s="225"/>
      <c r="I553" s="222" t="str">
        <f>IF($C$1="ENG","door lock Soft black","замок Soft чорн.")</f>
        <v>замок Soft чорн.</v>
      </c>
      <c r="J553" s="239">
        <f>IF(AF553="","",(1-$W$2)*(AF553/1.2))</f>
        <v>650</v>
      </c>
      <c r="K553" s="228">
        <f>IF($W$5=0.2,J553*1.2,J553)/$W$4</f>
        <v>780</v>
      </c>
      <c r="L553" s="191"/>
      <c r="M553" s="230"/>
      <c r="N553" s="225"/>
      <c r="O553" s="222" t="str">
        <f>IF($C$1="ENG","door hindge Prestige (1 unit)","завіса Prestige (1 шт)")</f>
        <v>завіса Prestige (1 шт)</v>
      </c>
      <c r="P553" s="240">
        <f>IF(AI553="","",(1-$W$2)*(AI553/1.2))</f>
        <v>250</v>
      </c>
      <c r="Q553" s="228">
        <f>IF($W$5=0.2,P553*1.2,P553)/$W$4</f>
        <v>300</v>
      </c>
      <c r="R553" s="186"/>
      <c r="S553" s="186"/>
      <c r="T553" s="186"/>
      <c r="U553" s="186"/>
      <c r="V553" s="186"/>
      <c r="W553" s="186"/>
      <c r="X553" s="186"/>
      <c r="AC553" s="218">
        <v>290</v>
      </c>
      <c r="AF553" s="218">
        <v>780</v>
      </c>
      <c r="AI553" s="218">
        <v>300</v>
      </c>
    </row>
    <row r="554" spans="2:46" ht="15" customHeight="1" x14ac:dyDescent="0.25">
      <c r="B554" s="225"/>
      <c r="C554" s="222" t="str">
        <f>IF($C$1="ENG","Ventilation cut","вентиляційний підріз")</f>
        <v>вентиляційний підріз</v>
      </c>
      <c r="D554" s="237">
        <f>IF(AC554="","",(1-$W$2)*(AC554/1.2))</f>
        <v>162.5</v>
      </c>
      <c r="E554" s="228">
        <f>IF($W$5=0.2,D554*1.2,D554)/$W$4</f>
        <v>195</v>
      </c>
      <c r="F554" s="191"/>
      <c r="G554" s="230"/>
      <c r="H554" s="225"/>
      <c r="I554" s="222" t="str">
        <f>IF($C$1="ENG","door lock Magnet","замок Magnet")</f>
        <v>замок Magnet</v>
      </c>
      <c r="J554" s="239">
        <f>IF(AF554="","",(1-$W$2)*(AF554/1.2))</f>
        <v>766.66666666666674</v>
      </c>
      <c r="K554" s="228">
        <f>IF($W$5=0.2,J554*1.2,J554)/$W$4</f>
        <v>920.00000000000011</v>
      </c>
      <c r="L554" s="191"/>
      <c r="M554" s="230"/>
      <c r="N554" s="225"/>
      <c r="O554" s="222" t="str">
        <f>IF($C$1="ENG","door hinge caps (1 set)","накладка на завіси (1 к-т)")</f>
        <v>накладка на завіси (1 к-т)</v>
      </c>
      <c r="P554" s="240">
        <f>IF(AI554="","",(1-$W$2)*(AI554/1.2))</f>
        <v>75</v>
      </c>
      <c r="Q554" s="228">
        <f>IF($W$5=0.2,P554*1.2,P554)/$W$4</f>
        <v>90</v>
      </c>
      <c r="R554" s="186"/>
      <c r="S554" s="186"/>
      <c r="T554" s="186"/>
      <c r="U554" s="186"/>
      <c r="V554" s="186"/>
      <c r="W554" s="186"/>
      <c r="X554" s="186"/>
      <c r="AC554" s="218">
        <v>195</v>
      </c>
      <c r="AF554" s="218">
        <v>920</v>
      </c>
      <c r="AI554" s="218">
        <v>90</v>
      </c>
    </row>
    <row r="555" spans="2:46" s="8" customFormat="1" ht="15" customHeight="1" x14ac:dyDescent="0.25">
      <c r="B555" s="225"/>
      <c r="C555" s="222" t="str">
        <f>IF($C$1="ENG","glazing Graphite / Bronze","скло Графіт / Бронза")</f>
        <v>скло Графіт / Бронза</v>
      </c>
      <c r="D555" s="237">
        <f>IF(AC555="","",(1-$W$2)*(AC555/1.2))</f>
        <v>525</v>
      </c>
      <c r="E555" s="228">
        <f>IF($W$5=0.2,D555*1.2,D555)/$W$4</f>
        <v>630</v>
      </c>
      <c r="F555" s="184"/>
      <c r="G555" s="231"/>
      <c r="H555" s="226"/>
      <c r="I555" s="222" t="str">
        <f>IF($C$1="ENG","door lock Magnet black","замок Magnet чорн.")</f>
        <v>замок Magnet чорн.</v>
      </c>
      <c r="J555" s="239">
        <f>IF(AF555="","",(1-$W$2)*(AF555/1.2))</f>
        <v>958.33333333333337</v>
      </c>
      <c r="K555" s="228">
        <f>IF($W$5=0.2,J555*1.2,J555)/$W$4</f>
        <v>1150</v>
      </c>
      <c r="L555" s="220"/>
      <c r="M555" s="233"/>
      <c r="N555" s="226"/>
      <c r="O555" s="222" t="str">
        <f>IF($C$1="ENG","door handle","дверна ручка")</f>
        <v>дверна ручка</v>
      </c>
      <c r="P555" s="237">
        <f>IF(AI555="","",(1-$W$2)*(AI555/1.2))</f>
        <v>0</v>
      </c>
      <c r="Q555" s="235" t="str">
        <f>IF($C$1="ENG","see Handles Price","див. Таблицю Ручки")</f>
        <v>див. Таблицю Ручки</v>
      </c>
      <c r="AC555" s="218">
        <v>630</v>
      </c>
      <c r="AF555" s="218">
        <v>1150</v>
      </c>
      <c r="AI555" s="218">
        <v>0</v>
      </c>
      <c r="AN555" s="123"/>
      <c r="AO555" s="123"/>
      <c r="AP555" s="123"/>
      <c r="AQ555" s="123"/>
      <c r="AR555" s="123"/>
      <c r="AS555" s="123"/>
      <c r="AT555" s="123"/>
    </row>
    <row r="556" spans="2:46" ht="15" customHeight="1" x14ac:dyDescent="0.25">
      <c r="B556" s="225"/>
      <c r="C556" s="222" t="str">
        <f>IF($C$1="ENG","glazing Lacobel black ","скло Lacobel чорне")</f>
        <v>скло Lacobel чорне</v>
      </c>
      <c r="D556" s="237">
        <f>IF(AC556="","",(1-$W$2)*(AC556/1.2))</f>
        <v>525</v>
      </c>
      <c r="E556" s="228">
        <f>IF($W$5=0.2,D556*1.2,D556)/$W$4</f>
        <v>630</v>
      </c>
      <c r="F556" s="221"/>
      <c r="G556" s="232"/>
      <c r="H556" s="225"/>
      <c r="I556" s="222" t="str">
        <f>IF($C$1="ENG","door handle-lock (for sliding doors)","ручка-замок (для дверей купе)")</f>
        <v>ручка-замок (для дверей купе)</v>
      </c>
      <c r="J556" s="237">
        <f>IF(AF556="","",(1-$W$2)*(AF556/1.2))</f>
        <v>533.33333333333337</v>
      </c>
      <c r="K556" s="228">
        <f>IF($W$5=0.2,J556*1.2,J556)/$W$4</f>
        <v>640</v>
      </c>
      <c r="L556" s="190"/>
      <c r="AC556" s="218">
        <v>630</v>
      </c>
      <c r="AF556" s="218">
        <v>640</v>
      </c>
      <c r="AI556" s="8"/>
      <c r="AN556" s="1"/>
    </row>
    <row r="557" spans="2:46" x14ac:dyDescent="0.25">
      <c r="C557" s="110"/>
      <c r="D557" s="21"/>
      <c r="E557" s="21"/>
      <c r="F557" s="21"/>
      <c r="G557" s="21"/>
      <c r="H557" s="5"/>
    </row>
    <row r="558" spans="2:46" x14ac:dyDescent="0.25">
      <c r="C558" s="110"/>
      <c r="D558" s="21"/>
      <c r="E558" s="21"/>
      <c r="F558" s="21"/>
      <c r="G558" s="21"/>
      <c r="H558" s="5"/>
      <c r="T558" s="82"/>
      <c r="U558" s="82"/>
      <c r="V558" s="82"/>
      <c r="W558" s="82"/>
    </row>
    <row r="559" spans="2:46" x14ac:dyDescent="0.25">
      <c r="C559" s="110"/>
      <c r="D559" s="21"/>
      <c r="E559" s="21"/>
      <c r="F559" s="21"/>
      <c r="G559" s="21"/>
      <c r="H559" s="5"/>
    </row>
    <row r="560" spans="2:46" x14ac:dyDescent="0.25">
      <c r="C560" s="110"/>
      <c r="D560" s="21"/>
      <c r="E560" s="21"/>
      <c r="F560" s="21"/>
      <c r="G560" s="21"/>
      <c r="H560" s="5"/>
    </row>
    <row r="561" spans="2:46" s="8" customFormat="1" ht="24.9" customHeight="1" x14ac:dyDescent="0.25">
      <c r="B561" s="246" t="str">
        <f>TITLE!$C$26</f>
        <v>Полотна збірні: LADA-LOFT</v>
      </c>
      <c r="C561" s="244"/>
      <c r="D561" s="245"/>
      <c r="E561" s="245"/>
      <c r="F561" s="216"/>
      <c r="G561" s="216"/>
      <c r="H561" s="216"/>
      <c r="I561" s="217"/>
      <c r="J561" s="217"/>
      <c r="K561" s="217"/>
      <c r="L561" s="217"/>
      <c r="M561" s="217"/>
      <c r="N561" s="217"/>
      <c r="O561" s="217"/>
      <c r="P561" s="217"/>
      <c r="Q561" s="217"/>
      <c r="R561" s="217"/>
      <c r="S561" s="217"/>
      <c r="T561" s="217"/>
      <c r="U561" s="217"/>
      <c r="V561" s="217"/>
      <c r="W561" s="217"/>
      <c r="X561" s="185"/>
      <c r="AN561" s="123"/>
      <c r="AO561" s="123"/>
      <c r="AP561" s="123"/>
      <c r="AQ561" s="123"/>
      <c r="AR561" s="123"/>
      <c r="AS561" s="123"/>
      <c r="AT561" s="123"/>
    </row>
    <row r="562" spans="2:46" s="8" customFormat="1" x14ac:dyDescent="0.25">
      <c r="B562" s="83"/>
      <c r="C562" s="162"/>
      <c r="D562" s="247"/>
      <c r="E562" s="247"/>
      <c r="F562" s="247"/>
      <c r="G562" s="247"/>
      <c r="H562" s="10"/>
      <c r="I562" s="264"/>
      <c r="T562" s="90"/>
      <c r="U562" s="90"/>
      <c r="V562" s="90"/>
      <c r="W562" s="90"/>
      <c r="AN562" s="123"/>
      <c r="AO562" s="123"/>
      <c r="AP562" s="123"/>
      <c r="AQ562" s="123"/>
      <c r="AR562" s="123"/>
      <c r="AS562" s="123"/>
      <c r="AT562" s="123"/>
    </row>
    <row r="563" spans="2:46" x14ac:dyDescent="0.25">
      <c r="B563" s="186"/>
      <c r="C563" s="193" t="str">
        <f>IF($C$1="ENG","model:","модель:")</f>
        <v>модель:</v>
      </c>
      <c r="D563" s="186"/>
      <c r="E563" s="196" t="s">
        <v>16</v>
      </c>
      <c r="F563" s="188"/>
      <c r="G563" s="196" t="s">
        <v>14</v>
      </c>
      <c r="H563" s="188"/>
      <c r="I563" s="196" t="s">
        <v>17</v>
      </c>
      <c r="J563" s="188"/>
      <c r="K563" s="196" t="s">
        <v>18</v>
      </c>
      <c r="L563" s="188"/>
      <c r="M563" s="196" t="s">
        <v>29</v>
      </c>
      <c r="N563" s="265"/>
      <c r="O563" s="248"/>
      <c r="P563" s="186"/>
      <c r="Q563" s="186"/>
      <c r="R563" s="186"/>
      <c r="S563" s="186"/>
      <c r="T563" s="186"/>
      <c r="U563" s="186"/>
      <c r="V563" s="186"/>
      <c r="W563" s="186"/>
      <c r="X563" s="186"/>
    </row>
    <row r="564" spans="2:46" x14ac:dyDescent="0.25">
      <c r="B564" s="186"/>
      <c r="C564" s="187"/>
      <c r="D564" s="186"/>
      <c r="E564" s="197"/>
      <c r="F564" s="186"/>
      <c r="G564" s="197"/>
      <c r="H564" s="186"/>
      <c r="I564" s="197"/>
      <c r="J564" s="186"/>
      <c r="K564" s="197"/>
      <c r="L564" s="186"/>
      <c r="M564" s="197"/>
      <c r="N564" s="266"/>
      <c r="O564" s="200"/>
      <c r="P564" s="186"/>
      <c r="Q564" s="186"/>
      <c r="R564" s="186"/>
      <c r="S564" s="186"/>
      <c r="T564" s="186"/>
      <c r="U564" s="186"/>
      <c r="V564" s="186"/>
      <c r="W564" s="186"/>
      <c r="X564" s="186"/>
    </row>
    <row r="565" spans="2:46" x14ac:dyDescent="0.25">
      <c r="B565" s="186"/>
      <c r="C565" s="187"/>
      <c r="D565" s="186"/>
      <c r="E565" s="197"/>
      <c r="F565" s="186"/>
      <c r="G565" s="197"/>
      <c r="H565" s="186"/>
      <c r="I565" s="197"/>
      <c r="J565" s="186"/>
      <c r="K565" s="197"/>
      <c r="L565" s="186"/>
      <c r="M565" s="197"/>
      <c r="N565" s="266"/>
      <c r="O565" s="200"/>
      <c r="P565" s="186"/>
      <c r="Q565" s="186"/>
      <c r="R565" s="186"/>
      <c r="S565" s="186"/>
      <c r="T565" s="186"/>
      <c r="U565" s="186"/>
      <c r="V565" s="186"/>
      <c r="W565" s="186"/>
      <c r="X565" s="186"/>
    </row>
    <row r="566" spans="2:46" x14ac:dyDescent="0.25">
      <c r="B566" s="186"/>
      <c r="C566" s="187"/>
      <c r="D566" s="186"/>
      <c r="E566" s="197"/>
      <c r="F566" s="186"/>
      <c r="G566" s="197"/>
      <c r="H566" s="186"/>
      <c r="I566" s="197"/>
      <c r="J566" s="186"/>
      <c r="K566" s="197"/>
      <c r="L566" s="186"/>
      <c r="M566" s="197"/>
      <c r="N566" s="266"/>
      <c r="O566" s="200"/>
      <c r="P566" s="186"/>
      <c r="Q566" s="186"/>
      <c r="R566" s="186"/>
      <c r="S566" s="186"/>
      <c r="T566" s="186"/>
      <c r="U566" s="186"/>
      <c r="V566" s="186"/>
      <c r="W566" s="186"/>
      <c r="X566" s="186"/>
    </row>
    <row r="567" spans="2:46" x14ac:dyDescent="0.25">
      <c r="B567" s="186"/>
      <c r="C567" s="187"/>
      <c r="D567" s="186"/>
      <c r="E567" s="197"/>
      <c r="F567" s="186"/>
      <c r="G567" s="197"/>
      <c r="H567" s="186"/>
      <c r="I567" s="197"/>
      <c r="J567" s="186"/>
      <c r="K567" s="197"/>
      <c r="L567" s="186"/>
      <c r="M567" s="197"/>
      <c r="N567" s="266"/>
      <c r="O567" s="200"/>
      <c r="P567" s="186"/>
      <c r="Q567" s="186"/>
      <c r="R567" s="186"/>
      <c r="S567" s="186"/>
      <c r="T567" s="186"/>
      <c r="U567" s="186"/>
      <c r="V567" s="186"/>
      <c r="W567" s="186"/>
      <c r="X567" s="186"/>
    </row>
    <row r="568" spans="2:46" x14ac:dyDescent="0.25">
      <c r="B568" s="186"/>
      <c r="C568" s="187"/>
      <c r="D568" s="186"/>
      <c r="E568" s="197"/>
      <c r="F568" s="186"/>
      <c r="G568" s="197"/>
      <c r="H568" s="186"/>
      <c r="I568" s="197"/>
      <c r="J568" s="186"/>
      <c r="K568" s="197"/>
      <c r="L568" s="186"/>
      <c r="M568" s="197"/>
      <c r="N568" s="266"/>
      <c r="O568" s="200"/>
      <c r="P568" s="186"/>
      <c r="Q568" s="186"/>
      <c r="R568" s="186"/>
      <c r="S568" s="186"/>
      <c r="T568" s="186"/>
      <c r="U568" s="186"/>
      <c r="V568" s="186"/>
      <c r="W568" s="186"/>
      <c r="X568" s="186"/>
    </row>
    <row r="569" spans="2:46" x14ac:dyDescent="0.25">
      <c r="B569" s="186"/>
      <c r="C569" s="187"/>
      <c r="D569" s="186"/>
      <c r="E569" s="197"/>
      <c r="F569" s="186"/>
      <c r="G569" s="197"/>
      <c r="H569" s="186"/>
      <c r="I569" s="197"/>
      <c r="J569" s="186"/>
      <c r="K569" s="197"/>
      <c r="L569" s="186"/>
      <c r="M569" s="197"/>
      <c r="N569" s="266"/>
      <c r="O569" s="200"/>
      <c r="P569" s="186"/>
      <c r="Q569" s="186"/>
      <c r="R569" s="186"/>
      <c r="S569" s="186"/>
      <c r="T569" s="186"/>
      <c r="U569" s="186"/>
      <c r="V569" s="186"/>
      <c r="W569" s="186"/>
      <c r="X569" s="186"/>
    </row>
    <row r="570" spans="2:46" x14ac:dyDescent="0.25">
      <c r="B570" s="186"/>
      <c r="C570" s="187"/>
      <c r="D570" s="186"/>
      <c r="E570" s="197"/>
      <c r="F570" s="186"/>
      <c r="G570" s="197"/>
      <c r="H570" s="186"/>
      <c r="I570" s="197"/>
      <c r="J570" s="186"/>
      <c r="K570" s="197"/>
      <c r="L570" s="186"/>
      <c r="M570" s="197"/>
      <c r="N570" s="266"/>
      <c r="O570" s="200"/>
      <c r="P570" s="186"/>
      <c r="Q570" s="186"/>
      <c r="R570" s="186"/>
      <c r="S570" s="186"/>
      <c r="T570" s="186"/>
      <c r="U570" s="186"/>
      <c r="V570" s="186"/>
      <c r="W570" s="186"/>
      <c r="X570" s="186"/>
    </row>
    <row r="571" spans="2:46" x14ac:dyDescent="0.25">
      <c r="B571" s="186"/>
      <c r="C571" s="1"/>
      <c r="D571" s="186"/>
      <c r="E571" s="197"/>
      <c r="F571" s="186"/>
      <c r="G571" s="197"/>
      <c r="H571" s="186"/>
      <c r="I571" s="197"/>
      <c r="J571" s="186"/>
      <c r="K571" s="197"/>
      <c r="L571" s="186"/>
      <c r="M571" s="197"/>
      <c r="N571" s="266"/>
      <c r="O571" s="200"/>
      <c r="P571" s="186"/>
      <c r="Q571" s="186"/>
      <c r="R571" s="186"/>
      <c r="S571" s="186"/>
      <c r="T571" s="186"/>
      <c r="U571" s="186"/>
      <c r="V571" s="186"/>
      <c r="W571" s="186"/>
      <c r="X571" s="186"/>
    </row>
    <row r="572" spans="2:46" x14ac:dyDescent="0.25">
      <c r="B572" s="186"/>
      <c r="C572" s="187" t="str">
        <f>IF($C$1="ENG","filling:","заповнення:")</f>
        <v>заповнення:</v>
      </c>
      <c r="D572" s="186"/>
      <c r="E572" s="198" t="str">
        <f>IF($C$1="ENG","softwood","клеєний брус")</f>
        <v>клеєний брус</v>
      </c>
      <c r="F572" s="189"/>
      <c r="G572" s="198" t="str">
        <f>IF($C$1="ENG","softwood","клеєний брус")</f>
        <v>клеєний брус</v>
      </c>
      <c r="H572" s="189"/>
      <c r="I572" s="198" t="str">
        <f>IF($C$1="ENG","softwood","клеєний брус")</f>
        <v>клеєний брус</v>
      </c>
      <c r="J572" s="189"/>
      <c r="K572" s="198" t="str">
        <f>IF($C$1="ENG","softwood","клеєний брус")</f>
        <v>клеєний брус</v>
      </c>
      <c r="L572" s="189"/>
      <c r="M572" s="198" t="str">
        <f>IF($C$1="ENG","softwood","клеєний брус")</f>
        <v>клеєний брус</v>
      </c>
      <c r="N572" s="267"/>
      <c r="O572" s="249"/>
      <c r="P572" s="186"/>
      <c r="Q572" s="186"/>
      <c r="R572" s="186"/>
      <c r="S572" s="186"/>
      <c r="T572" s="186"/>
      <c r="U572" s="186"/>
      <c r="V572" s="186"/>
      <c r="W572" s="186"/>
      <c r="X572" s="186"/>
    </row>
    <row r="573" spans="2:46" x14ac:dyDescent="0.25">
      <c r="B573" s="186"/>
      <c r="C573" s="187" t="str">
        <f>IF($C$1="ENG","glazing:","скління:")</f>
        <v>скління:</v>
      </c>
      <c r="D573" s="186"/>
      <c r="E573" s="198" t="str">
        <f>IF($C$1="ENG","Satin","Сатин")</f>
        <v>Сатин</v>
      </c>
      <c r="F573" s="189"/>
      <c r="G573" s="198" t="str">
        <f>IF($C$1="ENG","Satin","Сатин")</f>
        <v>Сатин</v>
      </c>
      <c r="H573" s="189"/>
      <c r="I573" s="198" t="str">
        <f>IF($C$1="ENG","Satin","Сатин")</f>
        <v>Сатин</v>
      </c>
      <c r="J573" s="189"/>
      <c r="K573" s="198" t="str">
        <f>IF($C$1="ENG","Satin","Сатин")</f>
        <v>Сатин</v>
      </c>
      <c r="L573" s="189"/>
      <c r="M573" s="198" t="str">
        <f>IF($C$1="ENG","Satin","Сатин")</f>
        <v>Сатин</v>
      </c>
      <c r="N573" s="267"/>
      <c r="O573" s="249"/>
      <c r="P573" s="186"/>
      <c r="Q573" s="186"/>
      <c r="R573" s="186"/>
      <c r="S573" s="186"/>
      <c r="T573" s="186"/>
      <c r="U573" s="186"/>
      <c r="V573" s="186"/>
      <c r="W573" s="186"/>
      <c r="X573" s="186"/>
    </row>
    <row r="574" spans="2:46" x14ac:dyDescent="0.25">
      <c r="D574" s="199"/>
      <c r="E574" s="197"/>
      <c r="F574" s="200"/>
      <c r="G574" s="197"/>
      <c r="H574" s="200"/>
      <c r="I574" s="197"/>
      <c r="J574" s="200"/>
      <c r="K574" s="197"/>
      <c r="L574" s="200"/>
      <c r="M574" s="197"/>
      <c r="N574" s="266"/>
      <c r="O574" s="200"/>
      <c r="P574" s="200"/>
      <c r="Q574" s="200"/>
      <c r="R574" s="200"/>
      <c r="S574" s="200"/>
      <c r="T574" s="200"/>
      <c r="U574" s="200"/>
      <c r="V574" s="200"/>
      <c r="W574" s="200"/>
      <c r="X574" s="186"/>
    </row>
    <row r="575" spans="2:46" s="190" customFormat="1" ht="15" customHeight="1" x14ac:dyDescent="0.25">
      <c r="B575" s="241" t="str">
        <f>IF($C$1="ENG","PRICE","ЦІНА")</f>
        <v>ЦІНА</v>
      </c>
      <c r="C575" s="242" t="str">
        <f>IF($C$1="ENG",IF($W$5=0.2,"with VAT","no VAT"),IF($W$5=0.2,"з ПДВ","без ПДВ"))</f>
        <v>з ПДВ</v>
      </c>
      <c r="D575" s="191"/>
      <c r="E575" s="243"/>
      <c r="F575" s="191"/>
      <c r="G575" s="243"/>
      <c r="H575" s="191"/>
      <c r="I575" s="243"/>
      <c r="J575" s="191"/>
      <c r="K575" s="243"/>
      <c r="L575" s="191"/>
      <c r="M575" s="243"/>
      <c r="N575" s="268"/>
      <c r="O575" s="194"/>
      <c r="P575" s="191"/>
      <c r="Q575" s="191"/>
      <c r="R575" s="191"/>
      <c r="S575" s="191"/>
      <c r="T575" s="191"/>
      <c r="U575" s="191"/>
      <c r="V575" s="191"/>
      <c r="W575" s="191"/>
      <c r="X575" s="191"/>
      <c r="AN575" s="192"/>
      <c r="AO575" s="192"/>
      <c r="AP575" s="192"/>
      <c r="AQ575" s="192"/>
      <c r="AR575" s="192"/>
      <c r="AS575" s="192"/>
      <c r="AT575" s="192"/>
    </row>
    <row r="576" spans="2:46" s="190" customFormat="1" ht="24.9" customHeight="1" x14ac:dyDescent="0.25">
      <c r="B576" s="201" t="str">
        <f>IF($C$1="ENG","Cover:","Покриття:")</f>
        <v>Покриття:</v>
      </c>
      <c r="C576" s="202" t="str">
        <f>IF($C$1="ENG","Verto-CELL","Verto-CELL")</f>
        <v>Verto-CELL</v>
      </c>
      <c r="D576" s="203">
        <f>IF(AC576="","",(1-$W$2)*(AC576/1.2))</f>
        <v>5808.3333333333339</v>
      </c>
      <c r="E576" s="204">
        <f>IF($W$5=0.2,D576*1.2,D576)/$W$4</f>
        <v>6970.0000000000009</v>
      </c>
      <c r="F576" s="203">
        <f>IF(AD576="","",(1-$W$2)*(AD576/1.2))</f>
        <v>6083.3333333333339</v>
      </c>
      <c r="G576" s="204">
        <f>IF($W$5=0.2,F576*1.2,F576)/$W$4</f>
        <v>7300.0000000000009</v>
      </c>
      <c r="H576" s="203">
        <f>IF(AE576="","",(1-$W$2)*(AE576/1.2))</f>
        <v>5808.3333333333339</v>
      </c>
      <c r="I576" s="204">
        <f>IF($W$5=0.2,H576*1.2,H576)/$W$4</f>
        <v>6970.0000000000009</v>
      </c>
      <c r="J576" s="203">
        <f>IF(AF576="","",(1-$W$2)*(AF576/1.2))</f>
        <v>5825</v>
      </c>
      <c r="K576" s="204">
        <f>IF($W$5=0.2,J576*1.2,J576)/$W$4</f>
        <v>6990</v>
      </c>
      <c r="L576" s="203">
        <f>IF(AG576="","",(1-$W$2)*(AG576/1.2))</f>
        <v>5933.3333333333339</v>
      </c>
      <c r="M576" s="204">
        <f>IF($W$5=0.2,L576*1.2,L576)/$W$4</f>
        <v>7120.0000000000009</v>
      </c>
      <c r="N576" s="269"/>
      <c r="O576" s="205"/>
      <c r="P576" s="203"/>
      <c r="Q576" s="205"/>
      <c r="R576" s="203"/>
      <c r="S576" s="205"/>
      <c r="T576" s="203"/>
      <c r="U576" s="205"/>
      <c r="V576" s="203"/>
      <c r="W576" s="205"/>
      <c r="X576" s="191"/>
      <c r="AB576" s="195" t="str">
        <f>C576</f>
        <v>Verto-CELL</v>
      </c>
      <c r="AC576" s="219">
        <v>6970</v>
      </c>
      <c r="AD576" s="219">
        <v>7300</v>
      </c>
      <c r="AE576" s="219">
        <v>6970</v>
      </c>
      <c r="AF576" s="219">
        <v>6990</v>
      </c>
      <c r="AG576" s="219">
        <v>7120</v>
      </c>
      <c r="AH576" s="219"/>
      <c r="AN576" s="192"/>
      <c r="AO576" s="192"/>
      <c r="AP576" s="192"/>
      <c r="AQ576" s="192"/>
      <c r="AR576" s="192"/>
      <c r="AS576" s="192"/>
      <c r="AT576" s="192"/>
    </row>
    <row r="577" spans="2:46" s="190" customFormat="1" ht="24.9" customHeight="1" x14ac:dyDescent="0.25">
      <c r="B577" s="254"/>
      <c r="C577" s="255" t="str">
        <f>IF($C$1="ENG","UNI-MAT","UNI-MAT")</f>
        <v>UNI-MAT</v>
      </c>
      <c r="D577" s="256">
        <f>IF(AC577="","",(1-$W$2)*(AC577/1.2))</f>
        <v>6625</v>
      </c>
      <c r="E577" s="257">
        <f>IF($W$5=0.2,D577*1.2,D577)/$W$4</f>
        <v>7950</v>
      </c>
      <c r="F577" s="256">
        <f>IF(AD577="","",(1-$W$2)*(AD577/1.2))</f>
        <v>6941.666666666667</v>
      </c>
      <c r="G577" s="257">
        <f>IF($W$5=0.2,F577*1.2,F577)/$W$4</f>
        <v>8330</v>
      </c>
      <c r="H577" s="256">
        <f>IF(AE577="","",(1-$W$2)*(AE577/1.2))</f>
        <v>6625</v>
      </c>
      <c r="I577" s="257">
        <f>IF($W$5=0.2,H577*1.2,H577)/$W$4</f>
        <v>7950</v>
      </c>
      <c r="J577" s="256">
        <f>IF(AF577="","",(1-$W$2)*(AF577/1.2))</f>
        <v>6641.666666666667</v>
      </c>
      <c r="K577" s="257">
        <f>IF($W$5=0.2,J577*1.2,J577)/$W$4</f>
        <v>7970</v>
      </c>
      <c r="L577" s="256">
        <f>IF(AG577="","",(1-$W$2)*(AG577/1.2))</f>
        <v>6750</v>
      </c>
      <c r="M577" s="257">
        <f>IF($W$5=0.2,L577*1.2,L577)/$W$4</f>
        <v>8100</v>
      </c>
      <c r="N577" s="270"/>
      <c r="O577" s="258"/>
      <c r="P577" s="256"/>
      <c r="Q577" s="258"/>
      <c r="R577" s="256"/>
      <c r="S577" s="258"/>
      <c r="T577" s="256"/>
      <c r="U577" s="258"/>
      <c r="V577" s="256"/>
      <c r="W577" s="258"/>
      <c r="X577" s="191"/>
      <c r="AB577" s="195" t="str">
        <f>C577</f>
        <v>UNI-MAT</v>
      </c>
      <c r="AC577" s="219">
        <v>7950</v>
      </c>
      <c r="AD577" s="219">
        <v>8330</v>
      </c>
      <c r="AE577" s="219">
        <v>7950</v>
      </c>
      <c r="AF577" s="219">
        <v>7970</v>
      </c>
      <c r="AG577" s="219">
        <v>8100</v>
      </c>
      <c r="AH577" s="219"/>
      <c r="AN577" s="192"/>
      <c r="AO577" s="192"/>
      <c r="AP577" s="192"/>
      <c r="AQ577" s="192"/>
      <c r="AR577" s="192"/>
      <c r="AS577" s="192"/>
      <c r="AT577" s="192"/>
    </row>
    <row r="578" spans="2:46" s="190" customFormat="1" ht="24.9" customHeight="1" x14ac:dyDescent="0.25">
      <c r="B578" s="254"/>
      <c r="C578" s="255" t="str">
        <f>IF($C$1="ENG","RESIST","RESIST")</f>
        <v>RESIST</v>
      </c>
      <c r="D578" s="256">
        <f>IF(AC578="","",(1-$W$2)*(AC578/1.2))</f>
        <v>6816.666666666667</v>
      </c>
      <c r="E578" s="257">
        <f>IF($W$5=0.2,D578*1.2,D578)/$W$4</f>
        <v>8180</v>
      </c>
      <c r="F578" s="256">
        <f>IF(AD578="","",(1-$W$2)*(AD578/1.2))</f>
        <v>7133.3333333333339</v>
      </c>
      <c r="G578" s="257">
        <f>IF($W$5=0.2,F578*1.2,F578)/$W$4</f>
        <v>8560</v>
      </c>
      <c r="H578" s="256">
        <f>IF(AE578="","",(1-$W$2)*(AE578/1.2))</f>
        <v>6816.666666666667</v>
      </c>
      <c r="I578" s="257">
        <f>IF($W$5=0.2,H578*1.2,H578)/$W$4</f>
        <v>8180</v>
      </c>
      <c r="J578" s="256">
        <f>IF(AF578="","",(1-$W$2)*(AF578/1.2))</f>
        <v>6908.3333333333339</v>
      </c>
      <c r="K578" s="257">
        <f>IF($W$5=0.2,J578*1.2,J578)/$W$4</f>
        <v>8290</v>
      </c>
      <c r="L578" s="256">
        <f>IF(AG578="","",(1-$W$2)*(AG578/1.2))</f>
        <v>6933.3333333333339</v>
      </c>
      <c r="M578" s="257">
        <f>IF($W$5=0.2,L578*1.2,L578)/$W$4</f>
        <v>8320</v>
      </c>
      <c r="N578" s="270"/>
      <c r="O578" s="258"/>
      <c r="P578" s="256"/>
      <c r="Q578" s="258"/>
      <c r="R578" s="256"/>
      <c r="S578" s="258"/>
      <c r="T578" s="256"/>
      <c r="U578" s="258"/>
      <c r="V578" s="256"/>
      <c r="W578" s="258"/>
      <c r="X578" s="191"/>
      <c r="AB578" s="195" t="str">
        <f>C578</f>
        <v>RESIST</v>
      </c>
      <c r="AC578" s="219">
        <v>8180</v>
      </c>
      <c r="AD578" s="219">
        <v>8560</v>
      </c>
      <c r="AE578" s="219">
        <v>8180</v>
      </c>
      <c r="AF578" s="219">
        <v>8290</v>
      </c>
      <c r="AG578" s="219">
        <v>8320</v>
      </c>
      <c r="AH578" s="219"/>
      <c r="AN578" s="192"/>
      <c r="AO578" s="192"/>
      <c r="AP578" s="192"/>
      <c r="AQ578" s="192"/>
      <c r="AR578" s="192"/>
      <c r="AS578" s="192"/>
      <c r="AT578" s="192"/>
    </row>
    <row r="579" spans="2:46" s="190" customFormat="1" ht="24.9" customHeight="1" x14ac:dyDescent="0.25">
      <c r="B579" s="254"/>
      <c r="C579" s="255" t="str">
        <f>IF($C$1="ENG","Verto LINE-3D","Verto LINE-3D")</f>
        <v>Verto LINE-3D</v>
      </c>
      <c r="D579" s="256">
        <f>IF(AC579="","",(1-$W$2)*(AC579/1.2))</f>
        <v>7341.666666666667</v>
      </c>
      <c r="E579" s="257">
        <f>IF($W$5=0.2,D579*1.2,D579)/$W$4</f>
        <v>8810</v>
      </c>
      <c r="F579" s="256">
        <f>IF(AD579="","",(1-$W$2)*(AD579/1.2))</f>
        <v>7658.3333333333339</v>
      </c>
      <c r="G579" s="257">
        <f>IF($W$5=0.2,F579*1.2,F579)/$W$4</f>
        <v>9190</v>
      </c>
      <c r="H579" s="256">
        <f>IF(AE579="","",(1-$W$2)*(AE579/1.2))</f>
        <v>7341.666666666667</v>
      </c>
      <c r="I579" s="257">
        <f>IF($W$5=0.2,H579*1.2,H579)/$W$4</f>
        <v>8810</v>
      </c>
      <c r="J579" s="256">
        <f>IF(AF579="","",(1-$W$2)*(AF579/1.2))</f>
        <v>7400</v>
      </c>
      <c r="K579" s="257">
        <f>IF($W$5=0.2,J579*1.2,J579)/$W$4</f>
        <v>8880</v>
      </c>
      <c r="L579" s="256">
        <f>IF(AG579="","",(1-$W$2)*(AG579/1.2))</f>
        <v>7475</v>
      </c>
      <c r="M579" s="257">
        <f>IF($W$5=0.2,L579*1.2,L579)/$W$4</f>
        <v>8970</v>
      </c>
      <c r="N579" s="270"/>
      <c r="O579" s="258"/>
      <c r="P579" s="256"/>
      <c r="Q579" s="258"/>
      <c r="R579" s="256"/>
      <c r="S579" s="258"/>
      <c r="T579" s="256"/>
      <c r="U579" s="258"/>
      <c r="V579" s="256"/>
      <c r="W579" s="258"/>
      <c r="X579" s="191"/>
      <c r="AB579" s="195" t="str">
        <f>C579</f>
        <v>Verto LINE-3D</v>
      </c>
      <c r="AC579" s="219">
        <v>8810</v>
      </c>
      <c r="AD579" s="219">
        <v>9190</v>
      </c>
      <c r="AE579" s="219">
        <v>8810</v>
      </c>
      <c r="AF579" s="219">
        <v>8880</v>
      </c>
      <c r="AG579" s="219">
        <v>8970</v>
      </c>
      <c r="AH579" s="219"/>
      <c r="AN579" s="192"/>
      <c r="AO579" s="192"/>
      <c r="AP579" s="192"/>
      <c r="AQ579" s="192"/>
      <c r="AR579" s="192"/>
      <c r="AS579" s="192"/>
      <c r="AT579" s="192"/>
    </row>
    <row r="580" spans="2:46" s="190" customFormat="1" ht="24.9" customHeight="1" x14ac:dyDescent="0.25">
      <c r="B580" s="206"/>
      <c r="C580" s="207" t="str">
        <f>IF($C$1="ENG","Premium","Premium")</f>
        <v>Premium</v>
      </c>
      <c r="D580" s="208">
        <f>IF(AC580="","",(1-$W$2)*(AC580/1.2))</f>
        <v>7683.3333333333339</v>
      </c>
      <c r="E580" s="209">
        <f>IF($W$5=0.2,D580*1.2,D580)/$W$4</f>
        <v>9220</v>
      </c>
      <c r="F580" s="208">
        <f>IF(AD580="","",(1-$W$2)*(AD580/1.2))</f>
        <v>7991.666666666667</v>
      </c>
      <c r="G580" s="209">
        <f>IF($W$5=0.2,F580*1.2,F580)/$W$4</f>
        <v>9590</v>
      </c>
      <c r="H580" s="208">
        <f>IF(AE580="","",(1-$W$2)*(AE580/1.2))</f>
        <v>7683.3333333333339</v>
      </c>
      <c r="I580" s="209">
        <f>IF($W$5=0.2,H580*1.2,H580)/$W$4</f>
        <v>9220</v>
      </c>
      <c r="J580" s="208">
        <f>IF(AF580="","",(1-$W$2)*(AF580/1.2))</f>
        <v>7741.666666666667</v>
      </c>
      <c r="K580" s="209">
        <f>IF($W$5=0.2,J580*1.2,J580)/$W$4</f>
        <v>9290</v>
      </c>
      <c r="L580" s="208">
        <f>IF(AG580="","",(1-$W$2)*(AG580/1.2))</f>
        <v>7816.666666666667</v>
      </c>
      <c r="M580" s="209">
        <f>IF($W$5=0.2,L580*1.2,L580)/$W$4</f>
        <v>9380</v>
      </c>
      <c r="N580" s="271"/>
      <c r="O580" s="210"/>
      <c r="P580" s="208"/>
      <c r="Q580" s="210"/>
      <c r="R580" s="208"/>
      <c r="S580" s="210"/>
      <c r="T580" s="208"/>
      <c r="U580" s="210"/>
      <c r="V580" s="208"/>
      <c r="W580" s="210"/>
      <c r="X580" s="191"/>
      <c r="AB580" s="195" t="str">
        <f>C580</f>
        <v>Premium</v>
      </c>
      <c r="AC580" s="219">
        <v>9220</v>
      </c>
      <c r="AD580" s="219">
        <v>9590</v>
      </c>
      <c r="AE580" s="219">
        <v>9220</v>
      </c>
      <c r="AF580" s="219">
        <v>9290</v>
      </c>
      <c r="AG580" s="219">
        <v>9380</v>
      </c>
      <c r="AH580" s="219"/>
      <c r="AN580" s="192"/>
      <c r="AO580" s="192"/>
      <c r="AP580" s="192"/>
      <c r="AQ580" s="192"/>
      <c r="AR580" s="192"/>
      <c r="AS580" s="192"/>
      <c r="AT580" s="192"/>
    </row>
    <row r="581" spans="2:46" x14ac:dyDescent="0.25">
      <c r="B581" s="187"/>
      <c r="C581" s="1"/>
      <c r="D581" s="186"/>
      <c r="E581" s="186"/>
      <c r="F581" s="186"/>
      <c r="G581" s="186"/>
      <c r="H581" s="186"/>
      <c r="I581" s="186"/>
      <c r="J581" s="186"/>
      <c r="K581" s="186"/>
      <c r="L581" s="186"/>
      <c r="M581" s="200"/>
      <c r="N581" s="186"/>
      <c r="O581" s="186"/>
      <c r="P581" s="186"/>
      <c r="Q581" s="186"/>
      <c r="R581" s="186"/>
      <c r="S581" s="186"/>
      <c r="T581" s="186"/>
      <c r="U581" s="186"/>
      <c r="V581" s="186"/>
      <c r="W581" s="186"/>
      <c r="X581" s="186"/>
    </row>
    <row r="582" spans="2:46" x14ac:dyDescent="0.25">
      <c r="B582" s="211" t="str">
        <f>IF($C$1="ENG","For additonal charge:","Послуги за додаткову плату:")</f>
        <v>Послуги за додаткову плату:</v>
      </c>
      <c r="C582" s="212"/>
      <c r="D582" s="213"/>
      <c r="E582" s="214" t="str">
        <f>CONCATENATE(B575," ",C575)</f>
        <v>ЦІНА з ПДВ</v>
      </c>
      <c r="F582" s="215"/>
      <c r="G582" s="215"/>
      <c r="H582" s="215"/>
      <c r="I582" s="215"/>
      <c r="J582" s="215"/>
      <c r="K582" s="215"/>
      <c r="L582" s="215"/>
      <c r="M582" s="215"/>
      <c r="N582" s="215"/>
      <c r="O582" s="215"/>
      <c r="P582" s="215"/>
      <c r="Q582" s="215"/>
      <c r="R582" s="215"/>
      <c r="S582" s="215"/>
      <c r="T582" s="215"/>
      <c r="U582" s="215"/>
      <c r="V582" s="215"/>
      <c r="W582" s="215"/>
      <c r="X582" s="186"/>
    </row>
    <row r="583" spans="2:46" x14ac:dyDescent="0.25">
      <c r="B583" s="187"/>
      <c r="C583" s="1"/>
      <c r="D583" s="186"/>
      <c r="E583" s="186"/>
      <c r="F583" s="186"/>
      <c r="G583" s="186"/>
      <c r="H583" s="186"/>
      <c r="I583" s="186"/>
      <c r="J583" s="186"/>
      <c r="K583" s="186"/>
      <c r="L583" s="186"/>
      <c r="M583" s="186"/>
      <c r="N583" s="186"/>
      <c r="O583" s="186"/>
      <c r="P583" s="186"/>
      <c r="Q583" s="186"/>
      <c r="R583" s="186"/>
      <c r="S583" s="186"/>
      <c r="T583" s="186"/>
      <c r="U583" s="186"/>
      <c r="V583" s="186"/>
      <c r="W583" s="186"/>
      <c r="X583" s="186"/>
    </row>
    <row r="584" spans="2:46" ht="15" customHeight="1" x14ac:dyDescent="0.25">
      <c r="B584" s="224"/>
      <c r="C584" s="223" t="str">
        <f>IF($C$1="ENG","door leaf with width 100","полотно розміром 100")</f>
        <v>полотно розміром 100</v>
      </c>
      <c r="D584" s="236">
        <f>IF(AC584="","",(1-$W$2)*(AC584/1.2))</f>
        <v>691.66666666666674</v>
      </c>
      <c r="E584" s="227">
        <f>IF($W$5=0.2,D584*1.2,D584)/$W$4</f>
        <v>830.00000000000011</v>
      </c>
      <c r="F584" s="191"/>
      <c r="G584" s="229"/>
      <c r="H584" s="224"/>
      <c r="I584" s="223" t="str">
        <f>IF($C$1="ENG","door lock Soft","замок Soft")</f>
        <v>замок Soft</v>
      </c>
      <c r="J584" s="238">
        <f>IF(AF584="","",(1-$W$2)*(AF584/1.2))</f>
        <v>525</v>
      </c>
      <c r="K584" s="227">
        <f>IF($W$5=0.2,J584*1.2,J584)/$W$4</f>
        <v>630</v>
      </c>
      <c r="L584" s="191"/>
      <c r="M584" s="229"/>
      <c r="N584" s="224"/>
      <c r="O584" s="223" t="str">
        <f>IF($C$1="ENG","cylinder incert","циліндр несиметричний")</f>
        <v>циліндр несиметричний</v>
      </c>
      <c r="P584" s="236">
        <f>IF(AI584="","",(1-$W$2)*(AI584/1.2))</f>
        <v>375</v>
      </c>
      <c r="Q584" s="227">
        <f>IF($W$5=0.2,P584*1.2,P584)/$W$4</f>
        <v>450</v>
      </c>
      <c r="R584" s="186"/>
      <c r="S584" s="186"/>
      <c r="T584" s="186"/>
      <c r="U584" s="186"/>
      <c r="V584" s="186"/>
      <c r="W584" s="186"/>
      <c r="X584" s="186"/>
      <c r="AC584" s="218">
        <v>830</v>
      </c>
      <c r="AF584" s="218">
        <v>630</v>
      </c>
      <c r="AI584" s="218">
        <v>450</v>
      </c>
    </row>
    <row r="585" spans="2:46" ht="15" customHeight="1" x14ac:dyDescent="0.25">
      <c r="B585" s="225"/>
      <c r="C585" s="222" t="str">
        <f>IF($C$1="ENG","Ventilation sleeves (1 row)","вентиляційні віддушини (1ряд)")</f>
        <v>вентиляційні віддушини (1ряд)</v>
      </c>
      <c r="D585" s="237">
        <f>IF(AC585="","",(1-$W$2)*(AC585/1.2))</f>
        <v>241.66666666666669</v>
      </c>
      <c r="E585" s="228">
        <f>IF($W$5=0.2,D585*1.2,D585)/$W$4</f>
        <v>290</v>
      </c>
      <c r="F585" s="191"/>
      <c r="G585" s="230"/>
      <c r="H585" s="225"/>
      <c r="I585" s="222" t="str">
        <f>IF($C$1="ENG","door lock Soft black","замок Soft чорн.")</f>
        <v>замок Soft чорн.</v>
      </c>
      <c r="J585" s="239">
        <f>IF(AF585="","",(1-$W$2)*(AF585/1.2))</f>
        <v>650</v>
      </c>
      <c r="K585" s="228">
        <f>IF($W$5=0.2,J585*1.2,J585)/$W$4</f>
        <v>780</v>
      </c>
      <c r="L585" s="191"/>
      <c r="M585" s="230"/>
      <c r="N585" s="225"/>
      <c r="O585" s="222" t="str">
        <f>IF($C$1="ENG","door hindge Prestige (1 unit)","завіса Prestige (1 шт)")</f>
        <v>завіса Prestige (1 шт)</v>
      </c>
      <c r="P585" s="240">
        <f>IF(AI585="","",(1-$W$2)*(AI585/1.2))</f>
        <v>250</v>
      </c>
      <c r="Q585" s="228">
        <f>IF($W$5=0.2,P585*1.2,P585)/$W$4</f>
        <v>300</v>
      </c>
      <c r="R585" s="186"/>
      <c r="S585" s="186"/>
      <c r="T585" s="186"/>
      <c r="U585" s="186"/>
      <c r="V585" s="186"/>
      <c r="W585" s="186"/>
      <c r="X585" s="186"/>
      <c r="AC585" s="218">
        <v>290</v>
      </c>
      <c r="AF585" s="218">
        <v>780</v>
      </c>
      <c r="AI585" s="218">
        <v>300</v>
      </c>
    </row>
    <row r="586" spans="2:46" ht="15" customHeight="1" x14ac:dyDescent="0.25">
      <c r="B586" s="225"/>
      <c r="C586" s="222" t="str">
        <f>IF($C$1="ENG","Ventilation cut","вентиляційний підріз")</f>
        <v>вентиляційний підріз</v>
      </c>
      <c r="D586" s="237">
        <f>IF(AC586="","",(1-$W$2)*(AC586/1.2))</f>
        <v>162.5</v>
      </c>
      <c r="E586" s="228">
        <f>IF($W$5=0.2,D586*1.2,D586)/$W$4</f>
        <v>195</v>
      </c>
      <c r="F586" s="191"/>
      <c r="G586" s="230"/>
      <c r="H586" s="225"/>
      <c r="I586" s="222" t="str">
        <f>IF($C$1="ENG","door lock Magnet","замок Magnet")</f>
        <v>замок Magnet</v>
      </c>
      <c r="J586" s="239">
        <f>IF(AF586="","",(1-$W$2)*(AF586/1.2))</f>
        <v>766.66666666666674</v>
      </c>
      <c r="K586" s="228">
        <f>IF($W$5=0.2,J586*1.2,J586)/$W$4</f>
        <v>920.00000000000011</v>
      </c>
      <c r="L586" s="191"/>
      <c r="M586" s="230"/>
      <c r="N586" s="225"/>
      <c r="O586" s="222" t="str">
        <f>IF($C$1="ENG","door hinge caps (1 set)","накладка на завіси (1 к-т)")</f>
        <v>накладка на завіси (1 к-т)</v>
      </c>
      <c r="P586" s="240">
        <f>IF(AI586="","",(1-$W$2)*(AI586/1.2))</f>
        <v>75</v>
      </c>
      <c r="Q586" s="228">
        <f>IF($W$5=0.2,P586*1.2,P586)/$W$4</f>
        <v>90</v>
      </c>
      <c r="R586" s="186"/>
      <c r="S586" s="186"/>
      <c r="T586" s="186"/>
      <c r="U586" s="186"/>
      <c r="V586" s="186"/>
      <c r="W586" s="186"/>
      <c r="X586" s="186"/>
      <c r="AC586" s="218">
        <v>195</v>
      </c>
      <c r="AF586" s="218">
        <v>920</v>
      </c>
      <c r="AI586" s="218">
        <v>90</v>
      </c>
    </row>
    <row r="587" spans="2:46" s="8" customFormat="1" ht="15" customHeight="1" x14ac:dyDescent="0.25">
      <c r="B587" s="225"/>
      <c r="C587" s="222" t="str">
        <f>IF($C$1="ENG","glazing Graphite / Bronze","скло Графіт / Бронза")</f>
        <v>скло Графіт / Бронза</v>
      </c>
      <c r="D587" s="237">
        <f>IF(AC587="","",(1-$W$2)*(AC587/1.2))</f>
        <v>525</v>
      </c>
      <c r="E587" s="228">
        <f>IF($W$5=0.2,D587*1.2,D587)/$W$4</f>
        <v>630</v>
      </c>
      <c r="F587" s="184"/>
      <c r="G587" s="231"/>
      <c r="H587" s="226"/>
      <c r="I587" s="222" t="str">
        <f>IF($C$1="ENG","door lock Magnet black","замок Magnet чорн.")</f>
        <v>замок Magnet чорн.</v>
      </c>
      <c r="J587" s="239">
        <f>IF(AF587="","",(1-$W$2)*(AF587/1.2))</f>
        <v>958.33333333333337</v>
      </c>
      <c r="K587" s="228">
        <f>IF($W$5=0.2,J587*1.2,J587)/$W$4</f>
        <v>1150</v>
      </c>
      <c r="L587" s="220"/>
      <c r="M587" s="233"/>
      <c r="N587" s="226"/>
      <c r="O587" s="222" t="str">
        <f>IF($C$1="ENG","door handle","дверна ручка")</f>
        <v>дверна ручка</v>
      </c>
      <c r="P587" s="237">
        <f>IF(AI587="","",(1-$W$2)*(AI587/1.2))</f>
        <v>0</v>
      </c>
      <c r="Q587" s="235" t="str">
        <f>IF($C$1="ENG","see Handles Price","див. Таблицю Ручки")</f>
        <v>див. Таблицю Ручки</v>
      </c>
      <c r="AC587" s="218">
        <v>630</v>
      </c>
      <c r="AF587" s="218">
        <v>1150</v>
      </c>
      <c r="AI587" s="218">
        <v>0</v>
      </c>
      <c r="AN587" s="123"/>
      <c r="AO587" s="123"/>
      <c r="AP587" s="123"/>
      <c r="AQ587" s="123"/>
      <c r="AR587" s="123"/>
      <c r="AS587" s="123"/>
      <c r="AT587" s="123"/>
    </row>
    <row r="588" spans="2:46" ht="15" customHeight="1" x14ac:dyDescent="0.25">
      <c r="B588" s="225"/>
      <c r="C588" s="222" t="str">
        <f>IF($C$1="ENG","glazing Lacobel black ","скло Lacobel чорне")</f>
        <v>скло Lacobel чорне</v>
      </c>
      <c r="D588" s="237">
        <f>IF(AC588="","",(1-$W$2)*(AC588/1.2))</f>
        <v>525</v>
      </c>
      <c r="E588" s="228">
        <f>IF($W$5=0.2,D588*1.2,D588)/$W$4</f>
        <v>630</v>
      </c>
      <c r="F588" s="221"/>
      <c r="G588" s="232"/>
      <c r="H588" s="225"/>
      <c r="I588" s="222" t="str">
        <f>IF($C$1="ENG","door handle-lock (for sliding doors)","ручка-замок (для дверей купе)")</f>
        <v>ручка-замок (для дверей купе)</v>
      </c>
      <c r="J588" s="237">
        <f>IF(AF588="","",(1-$W$2)*(AF588/1.2))</f>
        <v>533.33333333333337</v>
      </c>
      <c r="K588" s="228">
        <f>IF($W$5=0.2,J588*1.2,J588)/$W$4</f>
        <v>640</v>
      </c>
      <c r="L588" s="190"/>
      <c r="AC588" s="218">
        <v>630</v>
      </c>
      <c r="AF588" s="218">
        <v>640</v>
      </c>
      <c r="AI588" s="8"/>
      <c r="AN588" s="1"/>
    </row>
    <row r="589" spans="2:46" x14ac:dyDescent="0.25">
      <c r="C589" s="110"/>
      <c r="D589" s="21"/>
      <c r="E589" s="21"/>
      <c r="F589" s="21"/>
      <c r="G589" s="21"/>
      <c r="H589" s="5"/>
    </row>
    <row r="590" spans="2:46" x14ac:dyDescent="0.25">
      <c r="C590" s="110"/>
      <c r="D590" s="21"/>
      <c r="E590" s="21"/>
      <c r="F590" s="21"/>
      <c r="G590" s="21"/>
      <c r="H590" s="5"/>
    </row>
    <row r="591" spans="2:46" x14ac:dyDescent="0.25">
      <c r="C591" s="110"/>
      <c r="D591" s="21"/>
      <c r="E591" s="21"/>
      <c r="F591" s="21"/>
      <c r="G591" s="21"/>
      <c r="H591" s="5"/>
    </row>
    <row r="592" spans="2:46" x14ac:dyDescent="0.25">
      <c r="C592" s="110"/>
      <c r="D592" s="21"/>
      <c r="E592" s="21"/>
      <c r="F592" s="21"/>
      <c r="G592" s="21"/>
      <c r="H592" s="5"/>
    </row>
    <row r="593" spans="2:46" s="8" customFormat="1" ht="24.9" customHeight="1" x14ac:dyDescent="0.25">
      <c r="B593" s="246" t="str">
        <f>TITLE!C27</f>
        <v>Полотна збірні: TIANA</v>
      </c>
      <c r="C593" s="244"/>
      <c r="D593" s="245"/>
      <c r="E593" s="245"/>
      <c r="F593" s="216"/>
      <c r="G593" s="216"/>
      <c r="H593" s="216"/>
      <c r="I593" s="217"/>
      <c r="J593" s="217"/>
      <c r="K593" s="217"/>
      <c r="L593" s="217"/>
      <c r="M593" s="217"/>
      <c r="N593" s="217"/>
      <c r="O593" s="217"/>
      <c r="P593" s="217"/>
      <c r="Q593" s="217"/>
      <c r="R593" s="217"/>
      <c r="S593" s="217"/>
      <c r="T593" s="217"/>
      <c r="U593" s="217"/>
      <c r="V593" s="217"/>
      <c r="W593" s="217"/>
      <c r="X593" s="185"/>
      <c r="AN593" s="123"/>
      <c r="AO593" s="123"/>
      <c r="AP593" s="123"/>
      <c r="AQ593" s="123"/>
      <c r="AR593" s="123"/>
      <c r="AS593" s="123"/>
      <c r="AT593" s="123"/>
    </row>
    <row r="594" spans="2:46" s="8" customFormat="1" x14ac:dyDescent="0.25">
      <c r="B594" s="83"/>
      <c r="C594" s="162"/>
      <c r="D594" s="247"/>
      <c r="E594" s="247"/>
      <c r="F594" s="247"/>
      <c r="G594" s="247"/>
      <c r="H594" s="10"/>
      <c r="I594" s="264"/>
      <c r="T594" s="90"/>
      <c r="U594" s="90"/>
      <c r="V594" s="90"/>
      <c r="W594" s="90"/>
      <c r="AN594" s="123"/>
      <c r="AO594" s="123"/>
      <c r="AP594" s="123"/>
      <c r="AQ594" s="123"/>
      <c r="AR594" s="123"/>
      <c r="AS594" s="123"/>
      <c r="AT594" s="123"/>
    </row>
    <row r="595" spans="2:46" x14ac:dyDescent="0.25">
      <c r="B595" s="186"/>
      <c r="C595" s="193" t="str">
        <f>IF($C$1="ENG","model:","модель:")</f>
        <v>модель:</v>
      </c>
      <c r="D595" s="186"/>
      <c r="E595" s="196" t="s">
        <v>40</v>
      </c>
      <c r="F595" s="188"/>
      <c r="G595" s="196" t="s">
        <v>41</v>
      </c>
      <c r="H595" s="188"/>
      <c r="I595" s="248"/>
      <c r="J595" s="248"/>
      <c r="K595" s="248"/>
      <c r="L595" s="248"/>
      <c r="M595" s="248"/>
      <c r="N595" s="248"/>
      <c r="O595" s="248"/>
      <c r="P595" s="186"/>
      <c r="Q595" s="186"/>
      <c r="R595" s="186"/>
      <c r="S595" s="186"/>
      <c r="T595" s="186"/>
      <c r="U595" s="186"/>
      <c r="V595" s="186"/>
      <c r="W595" s="186"/>
      <c r="X595" s="186"/>
    </row>
    <row r="596" spans="2:46" x14ac:dyDescent="0.25">
      <c r="B596" s="186"/>
      <c r="C596" s="187"/>
      <c r="D596" s="186"/>
      <c r="E596" s="197"/>
      <c r="F596" s="186"/>
      <c r="G596" s="197"/>
      <c r="H596" s="186"/>
      <c r="I596" s="200"/>
      <c r="J596" s="200"/>
      <c r="K596" s="200"/>
      <c r="L596" s="200"/>
      <c r="M596" s="200"/>
      <c r="N596" s="200"/>
      <c r="O596" s="200"/>
      <c r="P596" s="186"/>
      <c r="Q596" s="186"/>
      <c r="R596" s="186"/>
      <c r="S596" s="186"/>
      <c r="T596" s="186"/>
      <c r="U596" s="186"/>
      <c r="V596" s="186"/>
      <c r="W596" s="186"/>
      <c r="X596" s="186"/>
    </row>
    <row r="597" spans="2:46" x14ac:dyDescent="0.25">
      <c r="B597" s="186"/>
      <c r="C597" s="187"/>
      <c r="D597" s="186"/>
      <c r="E597" s="197"/>
      <c r="F597" s="186"/>
      <c r="G597" s="197"/>
      <c r="H597" s="186"/>
      <c r="I597" s="200"/>
      <c r="J597" s="200"/>
      <c r="K597" s="200"/>
      <c r="L597" s="200"/>
      <c r="M597" s="200"/>
      <c r="N597" s="200"/>
      <c r="O597" s="200"/>
      <c r="P597" s="186"/>
      <c r="Q597" s="186"/>
      <c r="R597" s="186"/>
      <c r="S597" s="186"/>
      <c r="T597" s="186"/>
      <c r="U597" s="186"/>
      <c r="V597" s="186"/>
      <c r="W597" s="186"/>
      <c r="X597" s="186"/>
    </row>
    <row r="598" spans="2:46" x14ac:dyDescent="0.25">
      <c r="B598" s="186"/>
      <c r="C598" s="187"/>
      <c r="D598" s="186"/>
      <c r="E598" s="197"/>
      <c r="F598" s="186"/>
      <c r="G598" s="197"/>
      <c r="H598" s="186"/>
      <c r="I598" s="200"/>
      <c r="J598" s="200"/>
      <c r="K598" s="200"/>
      <c r="L598" s="200"/>
      <c r="M598" s="200"/>
      <c r="N598" s="200"/>
      <c r="O598" s="200"/>
      <c r="P598" s="186"/>
      <c r="Q598" s="186"/>
      <c r="R598" s="186"/>
      <c r="S598" s="186"/>
      <c r="T598" s="186"/>
      <c r="U598" s="186"/>
      <c r="V598" s="186"/>
      <c r="W598" s="186"/>
      <c r="X598" s="186"/>
    </row>
    <row r="599" spans="2:46" x14ac:dyDescent="0.25">
      <c r="B599" s="186"/>
      <c r="C599" s="187"/>
      <c r="D599" s="186"/>
      <c r="E599" s="197"/>
      <c r="F599" s="186"/>
      <c r="G599" s="197"/>
      <c r="H599" s="186"/>
      <c r="I599" s="200"/>
      <c r="J599" s="200"/>
      <c r="K599" s="200"/>
      <c r="L599" s="200"/>
      <c r="M599" s="200"/>
      <c r="N599" s="200"/>
      <c r="O599" s="200"/>
      <c r="P599" s="186"/>
      <c r="Q599" s="186"/>
      <c r="R599" s="186"/>
      <c r="S599" s="186"/>
      <c r="T599" s="186"/>
      <c r="U599" s="186"/>
      <c r="V599" s="186"/>
      <c r="W599" s="186"/>
      <c r="X599" s="186"/>
    </row>
    <row r="600" spans="2:46" x14ac:dyDescent="0.25">
      <c r="B600" s="186"/>
      <c r="C600" s="187"/>
      <c r="D600" s="186"/>
      <c r="E600" s="197"/>
      <c r="F600" s="186"/>
      <c r="G600" s="197"/>
      <c r="H600" s="186"/>
      <c r="I600" s="200"/>
      <c r="J600" s="200"/>
      <c r="K600" s="200"/>
      <c r="L600" s="200"/>
      <c r="M600" s="200"/>
      <c r="N600" s="200"/>
      <c r="O600" s="200"/>
      <c r="P600" s="186"/>
      <c r="Q600" s="186"/>
      <c r="R600" s="186"/>
      <c r="S600" s="186"/>
      <c r="T600" s="186"/>
      <c r="U600" s="186"/>
      <c r="V600" s="186"/>
      <c r="W600" s="186"/>
      <c r="X600" s="186"/>
    </row>
    <row r="601" spans="2:46" x14ac:dyDescent="0.25">
      <c r="B601" s="186"/>
      <c r="C601" s="187"/>
      <c r="D601" s="186"/>
      <c r="E601" s="197"/>
      <c r="F601" s="186"/>
      <c r="G601" s="197"/>
      <c r="H601" s="186"/>
      <c r="I601" s="200"/>
      <c r="J601" s="200"/>
      <c r="K601" s="200"/>
      <c r="L601" s="200"/>
      <c r="M601" s="200"/>
      <c r="N601" s="200"/>
      <c r="O601" s="200"/>
      <c r="P601" s="186"/>
      <c r="Q601" s="186"/>
      <c r="R601" s="186"/>
      <c r="S601" s="186"/>
      <c r="T601" s="186"/>
      <c r="U601" s="186"/>
      <c r="V601" s="186"/>
      <c r="W601" s="186"/>
      <c r="X601" s="186"/>
    </row>
    <row r="602" spans="2:46" x14ac:dyDescent="0.25">
      <c r="B602" s="186"/>
      <c r="C602" s="187"/>
      <c r="D602" s="186"/>
      <c r="E602" s="197"/>
      <c r="F602" s="186"/>
      <c r="G602" s="197"/>
      <c r="H602" s="186"/>
      <c r="I602" s="200"/>
      <c r="J602" s="200"/>
      <c r="K602" s="200"/>
      <c r="L602" s="200"/>
      <c r="M602" s="200"/>
      <c r="N602" s="200"/>
      <c r="O602" s="200"/>
      <c r="P602" s="186"/>
      <c r="Q602" s="186"/>
      <c r="R602" s="186"/>
      <c r="S602" s="186"/>
      <c r="T602" s="186"/>
      <c r="U602" s="186"/>
      <c r="V602" s="186"/>
      <c r="W602" s="186"/>
      <c r="X602" s="186"/>
    </row>
    <row r="603" spans="2:46" x14ac:dyDescent="0.25">
      <c r="B603" s="186"/>
      <c r="C603" s="1"/>
      <c r="D603" s="186"/>
      <c r="E603" s="197"/>
      <c r="F603" s="186"/>
      <c r="G603" s="197"/>
      <c r="H603" s="186"/>
      <c r="I603" s="200"/>
      <c r="J603" s="200"/>
      <c r="K603" s="200"/>
      <c r="L603" s="200"/>
      <c r="M603" s="200"/>
      <c r="N603" s="200"/>
      <c r="O603" s="200"/>
      <c r="P603" s="186"/>
      <c r="Q603" s="186"/>
      <c r="R603" s="186"/>
      <c r="S603" s="186"/>
      <c r="T603" s="186"/>
      <c r="U603" s="186"/>
      <c r="V603" s="186"/>
      <c r="W603" s="186"/>
      <c r="X603" s="186"/>
    </row>
    <row r="604" spans="2:46" x14ac:dyDescent="0.25">
      <c r="B604" s="186"/>
      <c r="C604" s="187" t="str">
        <f>IF($C$1="ENG","filling:","заповнення:")</f>
        <v>заповнення:</v>
      </c>
      <c r="D604" s="186"/>
      <c r="E604" s="198" t="str">
        <f>IF($C$1="ENG","softwood","клеєний брус")</f>
        <v>клеєний брус</v>
      </c>
      <c r="F604" s="189"/>
      <c r="G604" s="198" t="str">
        <f>IF($C$1="ENG","softwood","клеєний брус")</f>
        <v>клеєний брус</v>
      </c>
      <c r="H604" s="189"/>
      <c r="I604" s="249"/>
      <c r="J604" s="249"/>
      <c r="K604" s="249"/>
      <c r="L604" s="249"/>
      <c r="M604" s="249"/>
      <c r="N604" s="249"/>
      <c r="O604" s="249"/>
      <c r="P604" s="186"/>
      <c r="Q604" s="186"/>
      <c r="R604" s="186"/>
      <c r="S604" s="186"/>
      <c r="T604" s="186"/>
      <c r="U604" s="186"/>
      <c r="V604" s="186"/>
      <c r="W604" s="186"/>
      <c r="X604" s="186"/>
    </row>
    <row r="605" spans="2:46" x14ac:dyDescent="0.25">
      <c r="B605" s="186"/>
      <c r="C605" s="187" t="str">
        <f>IF($C$1="ENG","glazing:","скління:")</f>
        <v>скління:</v>
      </c>
      <c r="D605" s="186"/>
      <c r="E605" s="198" t="str">
        <f>IF($C$1="ENG","Satin","Сатин")</f>
        <v>Сатин</v>
      </c>
      <c r="F605" s="189"/>
      <c r="G605" s="198" t="str">
        <f>IF($C$1="ENG","Satin","Сатин")</f>
        <v>Сатин</v>
      </c>
      <c r="H605" s="189"/>
      <c r="I605" s="249"/>
      <c r="J605" s="249"/>
      <c r="K605" s="249"/>
      <c r="L605" s="249"/>
      <c r="M605" s="249"/>
      <c r="N605" s="249"/>
      <c r="O605" s="249"/>
      <c r="P605" s="186"/>
      <c r="Q605" s="186"/>
      <c r="R605" s="186"/>
      <c r="S605" s="186"/>
      <c r="T605" s="186"/>
      <c r="U605" s="186"/>
      <c r="V605" s="186"/>
      <c r="W605" s="186"/>
      <c r="X605" s="186"/>
    </row>
    <row r="606" spans="2:46" x14ac:dyDescent="0.25">
      <c r="D606" s="199"/>
      <c r="E606" s="197"/>
      <c r="F606" s="200"/>
      <c r="G606" s="197"/>
      <c r="H606" s="200"/>
      <c r="I606" s="200"/>
      <c r="J606" s="200"/>
      <c r="K606" s="200"/>
      <c r="L606" s="200"/>
      <c r="M606" s="200"/>
      <c r="N606" s="200"/>
      <c r="O606" s="200"/>
      <c r="P606" s="200"/>
      <c r="Q606" s="200"/>
      <c r="R606" s="200"/>
      <c r="S606" s="200"/>
      <c r="T606" s="200"/>
      <c r="U606" s="200"/>
      <c r="V606" s="200"/>
      <c r="W606" s="200"/>
      <c r="X606" s="186"/>
    </row>
    <row r="607" spans="2:46" s="190" customFormat="1" ht="15" customHeight="1" x14ac:dyDescent="0.25">
      <c r="B607" s="241" t="str">
        <f>IF($C$1="ENG","PRICE","ЦІНА")</f>
        <v>ЦІНА</v>
      </c>
      <c r="C607" s="242" t="str">
        <f>IF($C$1="ENG",IF($W$5=0.2,"with VAT","no VAT"),IF($W$5=0.2,"з ПДВ","без ПДВ"))</f>
        <v>з ПДВ</v>
      </c>
      <c r="D607" s="191"/>
      <c r="E607" s="243"/>
      <c r="F607" s="191"/>
      <c r="G607" s="243"/>
      <c r="H607" s="191"/>
      <c r="I607" s="194"/>
      <c r="J607" s="250"/>
      <c r="K607" s="194"/>
      <c r="L607" s="250"/>
      <c r="M607" s="194"/>
      <c r="N607" s="250"/>
      <c r="O607" s="194"/>
      <c r="P607" s="191"/>
      <c r="Q607" s="191"/>
      <c r="R607" s="191"/>
      <c r="S607" s="191"/>
      <c r="T607" s="191"/>
      <c r="U607" s="191"/>
      <c r="V607" s="191"/>
      <c r="W607" s="191"/>
      <c r="X607" s="191"/>
      <c r="AN607" s="192"/>
      <c r="AO607" s="192"/>
      <c r="AP607" s="192"/>
      <c r="AQ607" s="192"/>
      <c r="AR607" s="192"/>
      <c r="AS607" s="192"/>
      <c r="AT607" s="192"/>
    </row>
    <row r="608" spans="2:46" s="190" customFormat="1" ht="24.9" customHeight="1" x14ac:dyDescent="0.25">
      <c r="B608" s="201" t="str">
        <f>IF($C$1="ENG","Cover:","Покриття:")</f>
        <v>Покриття:</v>
      </c>
      <c r="C608" s="202" t="str">
        <f>IF($C$1="ENG","Verto-CELL","Verto-CELL")</f>
        <v>Verto-CELL</v>
      </c>
      <c r="D608" s="203">
        <f>IF(AC608="","",(1-$W$2)*(AC608/1.2))</f>
        <v>5941.666666666667</v>
      </c>
      <c r="E608" s="204">
        <f>IF($W$5=0.2,D608*1.2,D608)/$W$4</f>
        <v>7130</v>
      </c>
      <c r="F608" s="203">
        <f>IF(AD608="","",(1-$W$2)*(AD608/1.2))</f>
        <v>5941.666666666667</v>
      </c>
      <c r="G608" s="204">
        <f>IF($W$5=0.2,F608*1.2,F608)/$W$4</f>
        <v>7130</v>
      </c>
      <c r="H608" s="203"/>
      <c r="I608" s="205"/>
      <c r="J608" s="203"/>
      <c r="K608" s="205"/>
      <c r="L608" s="203"/>
      <c r="M608" s="205"/>
      <c r="N608" s="203"/>
      <c r="O608" s="205"/>
      <c r="P608" s="203"/>
      <c r="Q608" s="205"/>
      <c r="R608" s="203"/>
      <c r="S608" s="205"/>
      <c r="T608" s="203"/>
      <c r="U608" s="205"/>
      <c r="V608" s="203"/>
      <c r="W608" s="205"/>
      <c r="X608" s="191"/>
      <c r="AB608" s="195" t="str">
        <f>C608</f>
        <v>Verto-CELL</v>
      </c>
      <c r="AC608" s="219">
        <v>7130</v>
      </c>
      <c r="AD608" s="219">
        <v>7130</v>
      </c>
      <c r="AE608" s="219"/>
      <c r="AF608" s="219"/>
      <c r="AG608" s="219"/>
      <c r="AH608" s="219"/>
      <c r="AN608" s="192"/>
      <c r="AO608" s="192"/>
      <c r="AP608" s="192"/>
      <c r="AQ608" s="192"/>
      <c r="AR608" s="192"/>
      <c r="AS608" s="192"/>
      <c r="AT608" s="192"/>
    </row>
    <row r="609" spans="2:46" s="190" customFormat="1" ht="24.9" customHeight="1" x14ac:dyDescent="0.25">
      <c r="B609" s="254"/>
      <c r="C609" s="255" t="str">
        <f>IF($C$1="ENG","UNI-MAT","UNI-MAT")</f>
        <v>UNI-MAT</v>
      </c>
      <c r="D609" s="256">
        <f>IF(AC609="","",(1-$W$2)*(AC609/1.2))</f>
        <v>6700</v>
      </c>
      <c r="E609" s="257">
        <f>IF($W$5=0.2,D609*1.2,D609)/$W$4</f>
        <v>8040</v>
      </c>
      <c r="F609" s="256">
        <f>IF(AD609="","",(1-$W$2)*(AD609/1.2))</f>
        <v>6700</v>
      </c>
      <c r="G609" s="257">
        <f>IF($W$5=0.2,F609*1.2,F609)/$W$4</f>
        <v>8040</v>
      </c>
      <c r="H609" s="256"/>
      <c r="I609" s="258"/>
      <c r="J609" s="256"/>
      <c r="K609" s="258"/>
      <c r="L609" s="256"/>
      <c r="M609" s="258"/>
      <c r="N609" s="256"/>
      <c r="O609" s="258"/>
      <c r="P609" s="256"/>
      <c r="Q609" s="258"/>
      <c r="R609" s="256"/>
      <c r="S609" s="258"/>
      <c r="T609" s="256"/>
      <c r="U609" s="258"/>
      <c r="V609" s="256"/>
      <c r="W609" s="258"/>
      <c r="X609" s="191"/>
      <c r="AB609" s="195" t="str">
        <f>C609</f>
        <v>UNI-MAT</v>
      </c>
      <c r="AC609" s="219">
        <v>8040</v>
      </c>
      <c r="AD609" s="219">
        <v>8040</v>
      </c>
      <c r="AE609" s="219"/>
      <c r="AF609" s="219"/>
      <c r="AG609" s="219"/>
      <c r="AH609" s="219"/>
      <c r="AN609" s="192"/>
      <c r="AO609" s="192"/>
      <c r="AP609" s="192"/>
      <c r="AQ609" s="192"/>
      <c r="AR609" s="192"/>
      <c r="AS609" s="192"/>
      <c r="AT609" s="192"/>
    </row>
    <row r="610" spans="2:46" s="190" customFormat="1" ht="24.9" customHeight="1" x14ac:dyDescent="0.25">
      <c r="B610" s="254"/>
      <c r="C610" s="255" t="str">
        <f>IF($C$1="ENG","RESIST","RESIST")</f>
        <v>RESIST</v>
      </c>
      <c r="D610" s="256">
        <f>IF(AC610="","",(1-$W$2)*(AC610/1.2))</f>
        <v>6908.3333333333339</v>
      </c>
      <c r="E610" s="257">
        <f>IF($W$5=0.2,D610*1.2,D610)/$W$4</f>
        <v>8290</v>
      </c>
      <c r="F610" s="256">
        <f>IF(AD610="","",(1-$W$2)*(AD610/1.2))</f>
        <v>6908.3333333333339</v>
      </c>
      <c r="G610" s="257">
        <f>IF($W$5=0.2,F610*1.2,F610)/$W$4</f>
        <v>8290</v>
      </c>
      <c r="H610" s="256"/>
      <c r="I610" s="258"/>
      <c r="J610" s="256"/>
      <c r="K610" s="258"/>
      <c r="L610" s="256"/>
      <c r="M610" s="258"/>
      <c r="N610" s="256"/>
      <c r="O610" s="258"/>
      <c r="P610" s="256"/>
      <c r="Q610" s="258"/>
      <c r="R610" s="256"/>
      <c r="S610" s="258"/>
      <c r="T610" s="256"/>
      <c r="U610" s="258"/>
      <c r="V610" s="256"/>
      <c r="W610" s="258"/>
      <c r="X610" s="191"/>
      <c r="AB610" s="195" t="str">
        <f>C610</f>
        <v>RESIST</v>
      </c>
      <c r="AC610" s="219">
        <v>8290</v>
      </c>
      <c r="AD610" s="219">
        <v>8290</v>
      </c>
      <c r="AE610" s="219"/>
      <c r="AF610" s="219"/>
      <c r="AG610" s="219"/>
      <c r="AH610" s="219"/>
      <c r="AN610" s="192"/>
      <c r="AO610" s="192"/>
      <c r="AP610" s="192"/>
      <c r="AQ610" s="192"/>
      <c r="AR610" s="192"/>
      <c r="AS610" s="192"/>
      <c r="AT610" s="192"/>
    </row>
    <row r="611" spans="2:46" s="190" customFormat="1" ht="24.9" customHeight="1" x14ac:dyDescent="0.25">
      <c r="B611" s="254"/>
      <c r="C611" s="255" t="str">
        <f>IF($C$1="ENG","Verto LINE-3D","Verto LINE-3D")</f>
        <v>Verto LINE-3D</v>
      </c>
      <c r="D611" s="256">
        <f>IF(AC611="","",(1-$W$2)*(AC611/1.2))</f>
        <v>7408.3333333333339</v>
      </c>
      <c r="E611" s="257">
        <f>IF($W$5=0.2,D611*1.2,D611)/$W$4</f>
        <v>8890</v>
      </c>
      <c r="F611" s="256">
        <f>IF(AD611="","",(1-$W$2)*(AD611/1.2))</f>
        <v>7408.3333333333339</v>
      </c>
      <c r="G611" s="257">
        <f>IF($W$5=0.2,F611*1.2,F611)/$W$4</f>
        <v>8890</v>
      </c>
      <c r="H611" s="256"/>
      <c r="I611" s="258"/>
      <c r="J611" s="256"/>
      <c r="K611" s="258"/>
      <c r="L611" s="256"/>
      <c r="M611" s="258"/>
      <c r="N611" s="256"/>
      <c r="O611" s="258"/>
      <c r="P611" s="256"/>
      <c r="Q611" s="258"/>
      <c r="R611" s="256"/>
      <c r="S611" s="258"/>
      <c r="T611" s="256"/>
      <c r="U611" s="258"/>
      <c r="V611" s="256"/>
      <c r="W611" s="258"/>
      <c r="X611" s="191"/>
      <c r="AB611" s="195" t="str">
        <f>C611</f>
        <v>Verto LINE-3D</v>
      </c>
      <c r="AC611" s="219">
        <v>8890</v>
      </c>
      <c r="AD611" s="219">
        <v>8890</v>
      </c>
      <c r="AE611" s="219"/>
      <c r="AF611" s="219"/>
      <c r="AG611" s="219"/>
      <c r="AH611" s="219"/>
      <c r="AN611" s="192"/>
      <c r="AO611" s="192"/>
      <c r="AP611" s="192"/>
      <c r="AQ611" s="192"/>
      <c r="AR611" s="192"/>
      <c r="AS611" s="192"/>
      <c r="AT611" s="192"/>
    </row>
    <row r="612" spans="2:46" s="190" customFormat="1" ht="24.9" customHeight="1" x14ac:dyDescent="0.25">
      <c r="B612" s="206"/>
      <c r="C612" s="207" t="str">
        <f>IF($C$1="ENG","Premium","Premium")</f>
        <v>Premium</v>
      </c>
      <c r="D612" s="208">
        <f>IF(AC612="","",(1-$W$2)*(AC612/1.2))</f>
        <v>7766.666666666667</v>
      </c>
      <c r="E612" s="209">
        <f>IF($W$5=0.2,D612*1.2,D612)/$W$4</f>
        <v>9320</v>
      </c>
      <c r="F612" s="208">
        <f>IF(AD612="","",(1-$W$2)*(AD612/1.2))</f>
        <v>7766.666666666667</v>
      </c>
      <c r="G612" s="209">
        <f>IF($W$5=0.2,F612*1.2,F612)/$W$4</f>
        <v>9320</v>
      </c>
      <c r="H612" s="208"/>
      <c r="I612" s="210"/>
      <c r="J612" s="208"/>
      <c r="K612" s="210"/>
      <c r="L612" s="208"/>
      <c r="M612" s="210"/>
      <c r="N612" s="208"/>
      <c r="O612" s="210"/>
      <c r="P612" s="208"/>
      <c r="Q612" s="210"/>
      <c r="R612" s="208"/>
      <c r="S612" s="210"/>
      <c r="T612" s="208"/>
      <c r="U612" s="210"/>
      <c r="V612" s="208"/>
      <c r="W612" s="210"/>
      <c r="X612" s="191"/>
      <c r="AB612" s="195" t="str">
        <f>C612</f>
        <v>Premium</v>
      </c>
      <c r="AC612" s="219">
        <v>9320</v>
      </c>
      <c r="AD612" s="219">
        <v>9320</v>
      </c>
      <c r="AE612" s="219"/>
      <c r="AF612" s="219"/>
      <c r="AG612" s="219"/>
      <c r="AH612" s="219"/>
      <c r="AN612" s="192"/>
      <c r="AO612" s="192"/>
      <c r="AP612" s="192"/>
      <c r="AQ612" s="192"/>
      <c r="AR612" s="192"/>
      <c r="AS612" s="192"/>
      <c r="AT612" s="192"/>
    </row>
    <row r="613" spans="2:46" x14ac:dyDescent="0.25">
      <c r="B613" s="187"/>
      <c r="C613" s="1"/>
      <c r="D613" s="186"/>
      <c r="E613" s="186"/>
      <c r="F613" s="186"/>
      <c r="G613" s="186"/>
      <c r="H613" s="186"/>
      <c r="I613" s="200"/>
      <c r="J613" s="200"/>
      <c r="K613" s="200"/>
      <c r="L613" s="200"/>
      <c r="M613" s="200"/>
      <c r="N613" s="186"/>
      <c r="O613" s="186"/>
      <c r="P613" s="186"/>
      <c r="Q613" s="186"/>
      <c r="R613" s="186"/>
      <c r="S613" s="186"/>
      <c r="T613" s="186"/>
      <c r="U613" s="186"/>
      <c r="V613" s="186"/>
      <c r="W613" s="186"/>
      <c r="X613" s="186"/>
    </row>
    <row r="614" spans="2:46" x14ac:dyDescent="0.25">
      <c r="B614" s="211" t="str">
        <f>IF($C$1="ENG","For additonal charge:","Послуги за додаткову плату:")</f>
        <v>Послуги за додаткову плату:</v>
      </c>
      <c r="C614" s="212"/>
      <c r="D614" s="213"/>
      <c r="E614" s="214" t="str">
        <f>CONCATENATE(B607," ",C607)</f>
        <v>ЦІНА з ПДВ</v>
      </c>
      <c r="F614" s="215"/>
      <c r="G614" s="215"/>
      <c r="H614" s="215"/>
      <c r="I614" s="215"/>
      <c r="J614" s="215"/>
      <c r="K614" s="215"/>
      <c r="L614" s="215"/>
      <c r="M614" s="215"/>
      <c r="N614" s="215"/>
      <c r="O614" s="215"/>
      <c r="P614" s="215"/>
      <c r="Q614" s="215"/>
      <c r="R614" s="215"/>
      <c r="S614" s="215"/>
      <c r="T614" s="215"/>
      <c r="U614" s="215"/>
      <c r="V614" s="215"/>
      <c r="W614" s="215"/>
      <c r="X614" s="186"/>
    </row>
    <row r="615" spans="2:46" x14ac:dyDescent="0.25">
      <c r="B615" s="187"/>
      <c r="C615" s="1"/>
      <c r="D615" s="186"/>
      <c r="E615" s="186"/>
      <c r="F615" s="186"/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  <c r="R615" s="186"/>
      <c r="S615" s="186"/>
      <c r="T615" s="186"/>
      <c r="U615" s="186"/>
      <c r="V615" s="186"/>
      <c r="W615" s="186"/>
      <c r="X615" s="186"/>
    </row>
    <row r="616" spans="2:46" ht="15" customHeight="1" x14ac:dyDescent="0.25">
      <c r="B616" s="224"/>
      <c r="C616" s="223" t="str">
        <f>IF($C$1="ENG","door leaf with width 100","полотно розміром 100")</f>
        <v>полотно розміром 100</v>
      </c>
      <c r="D616" s="236">
        <f>IF(AC616="","",(1-$W$2)*(AC616/1.2))</f>
        <v>691.66666666666674</v>
      </c>
      <c r="E616" s="227">
        <f>IF($W$5=0.2,D616*1.2,D616)/$W$4</f>
        <v>830.00000000000011</v>
      </c>
      <c r="F616" s="191"/>
      <c r="G616" s="229"/>
      <c r="H616" s="224"/>
      <c r="I616" s="223" t="str">
        <f>IF($C$1="ENG","door lock Soft","замок Soft")</f>
        <v>замок Soft</v>
      </c>
      <c r="J616" s="238">
        <f>IF(AF616="","",(1-$W$2)*(AF616/1.2))</f>
        <v>525</v>
      </c>
      <c r="K616" s="227">
        <f>IF($W$5=0.2,J616*1.2,J616)/$W$4</f>
        <v>630</v>
      </c>
      <c r="L616" s="191"/>
      <c r="M616" s="229"/>
      <c r="N616" s="224"/>
      <c r="O616" s="223" t="str">
        <f>IF($C$1="ENG","cylinder incert","циліндр несиметричний")</f>
        <v>циліндр несиметричний</v>
      </c>
      <c r="P616" s="236">
        <f>IF(AI616="","",(1-$W$2)*(AI616/1.2))</f>
        <v>375</v>
      </c>
      <c r="Q616" s="227">
        <f>IF($W$5=0.2,P616*1.2,P616)/$W$4</f>
        <v>450</v>
      </c>
      <c r="R616" s="186"/>
      <c r="S616" s="186"/>
      <c r="T616" s="186"/>
      <c r="U616" s="186"/>
      <c r="V616" s="186"/>
      <c r="W616" s="186"/>
      <c r="X616" s="186"/>
      <c r="AC616" s="218">
        <v>830</v>
      </c>
      <c r="AF616" s="218">
        <v>630</v>
      </c>
      <c r="AI616" s="218">
        <v>450</v>
      </c>
    </row>
    <row r="617" spans="2:46" ht="15" customHeight="1" x14ac:dyDescent="0.25">
      <c r="B617" s="225"/>
      <c r="C617" s="222" t="str">
        <f>IF($C$1="ENG","Ventilation cut","вентиляційний підріз")</f>
        <v>вентиляційний підріз</v>
      </c>
      <c r="D617" s="237">
        <f>IF(AC617="","",(1-$W$2)*(AC617/1.2))</f>
        <v>162.5</v>
      </c>
      <c r="E617" s="228">
        <f>IF($W$5=0.2,D617*1.2,D617)/$W$4</f>
        <v>195</v>
      </c>
      <c r="F617" s="191"/>
      <c r="G617" s="230"/>
      <c r="H617" s="225"/>
      <c r="I617" s="222" t="str">
        <f>IF($C$1="ENG","door lock Soft black","замок Soft чорн.")</f>
        <v>замок Soft чорн.</v>
      </c>
      <c r="J617" s="239">
        <f>IF(AF617="","",(1-$W$2)*(AF617/1.2))</f>
        <v>650</v>
      </c>
      <c r="K617" s="228">
        <f>IF($W$5=0.2,J617*1.2,J617)/$W$4</f>
        <v>780</v>
      </c>
      <c r="L617" s="191"/>
      <c r="M617" s="230"/>
      <c r="N617" s="225"/>
      <c r="O617" s="222" t="str">
        <f>IF($C$1="ENG","door hindge Prestige (1 unit)","завіса Prestige (1 шт)")</f>
        <v>завіса Prestige (1 шт)</v>
      </c>
      <c r="P617" s="240">
        <f>IF(AI617="","",(1-$W$2)*(AI617/1.2))</f>
        <v>250</v>
      </c>
      <c r="Q617" s="228">
        <f>IF($W$5=0.2,P617*1.2,P617)/$W$4</f>
        <v>300</v>
      </c>
      <c r="R617" s="186"/>
      <c r="S617" s="186"/>
      <c r="T617" s="186"/>
      <c r="U617" s="186"/>
      <c r="V617" s="186"/>
      <c r="W617" s="186"/>
      <c r="X617" s="186"/>
      <c r="AC617" s="218">
        <v>195</v>
      </c>
      <c r="AF617" s="218">
        <v>780</v>
      </c>
      <c r="AI617" s="218">
        <v>300</v>
      </c>
    </row>
    <row r="618" spans="2:46" ht="15" customHeight="1" x14ac:dyDescent="0.25">
      <c r="B618" s="225"/>
      <c r="C618" s="222" t="str">
        <f>IF($C$1="ENG","glazing Graphite / Bronze","скло Графіт / Бронза")</f>
        <v>скло Графіт / Бронза</v>
      </c>
      <c r="D618" s="237">
        <f>IF(AC618="","",(1-$W$2)*(AC618/1.2))</f>
        <v>525</v>
      </c>
      <c r="E618" s="228">
        <f>IF($W$5=0.2,D618*1.2,D618)/$W$4</f>
        <v>630</v>
      </c>
      <c r="F618" s="191"/>
      <c r="G618" s="230"/>
      <c r="H618" s="225"/>
      <c r="I618" s="222" t="str">
        <f>IF($C$1="ENG","door lock Magnet","замок Magnet")</f>
        <v>замок Magnet</v>
      </c>
      <c r="J618" s="239">
        <f>IF(AF618="","",(1-$W$2)*(AF618/1.2))</f>
        <v>766.66666666666674</v>
      </c>
      <c r="K618" s="228">
        <f>IF($W$5=0.2,J618*1.2,J618)/$W$4</f>
        <v>920.00000000000011</v>
      </c>
      <c r="L618" s="191"/>
      <c r="M618" s="230"/>
      <c r="N618" s="225"/>
      <c r="O618" s="222" t="str">
        <f>IF($C$1="ENG","door hinge caps (1 set)","накладка на завіси (1 к-т)")</f>
        <v>накладка на завіси (1 к-т)</v>
      </c>
      <c r="P618" s="240">
        <f>IF(AI618="","",(1-$W$2)*(AI618/1.2))</f>
        <v>75</v>
      </c>
      <c r="Q618" s="228">
        <f>IF($W$5=0.2,P618*1.2,P618)/$W$4</f>
        <v>90</v>
      </c>
      <c r="R618" s="186"/>
      <c r="S618" s="186"/>
      <c r="T618" s="186"/>
      <c r="U618" s="186"/>
      <c r="V618" s="186"/>
      <c r="W618" s="186"/>
      <c r="X618" s="186"/>
      <c r="AC618" s="218">
        <v>630</v>
      </c>
      <c r="AF618" s="218">
        <v>920</v>
      </c>
      <c r="AI618" s="218">
        <v>90</v>
      </c>
    </row>
    <row r="619" spans="2:46" s="8" customFormat="1" ht="15" customHeight="1" x14ac:dyDescent="0.25">
      <c r="B619" s="225"/>
      <c r="C619" s="222" t="str">
        <f>IF($C$1="ENG","glazing Lacobel black ","скло Lacobel чорне")</f>
        <v>скло Lacobel чорне</v>
      </c>
      <c r="D619" s="237">
        <f>IF(AC619="","",(1-$W$2)*(AC619/1.2))</f>
        <v>525</v>
      </c>
      <c r="E619" s="228">
        <f>IF($W$5=0.2,D619*1.2,D619)/$W$4</f>
        <v>630</v>
      </c>
      <c r="F619" s="184"/>
      <c r="G619" s="231"/>
      <c r="H619" s="226"/>
      <c r="I619" s="222" t="str">
        <f>IF($C$1="ENG","door lock Magnet black","замок Magnet чорн.")</f>
        <v>замок Magnet чорн.</v>
      </c>
      <c r="J619" s="239">
        <f>IF(AF619="","",(1-$W$2)*(AF619/1.2))</f>
        <v>958.33333333333337</v>
      </c>
      <c r="K619" s="228">
        <f>IF($W$5=0.2,J619*1.2,J619)/$W$4</f>
        <v>1150</v>
      </c>
      <c r="L619" s="220"/>
      <c r="M619" s="233"/>
      <c r="N619" s="226"/>
      <c r="O619" s="222" t="str">
        <f>IF($C$1="ENG","door handle","дверна ручка")</f>
        <v>дверна ручка</v>
      </c>
      <c r="P619" s="237">
        <f>IF(AI619="","",(1-$W$2)*(AI619/1.2))</f>
        <v>0</v>
      </c>
      <c r="Q619" s="235" t="str">
        <f>IF($C$1="ENG","see Handles Price","див. Таблицю Ручки")</f>
        <v>див. Таблицю Ручки</v>
      </c>
      <c r="AC619" s="218">
        <v>630</v>
      </c>
      <c r="AF619" s="218">
        <v>1150</v>
      </c>
      <c r="AI619" s="218">
        <v>0</v>
      </c>
      <c r="AN619" s="123"/>
      <c r="AO619" s="123"/>
      <c r="AP619" s="123"/>
      <c r="AQ619" s="123"/>
      <c r="AR619" s="123"/>
      <c r="AS619" s="123"/>
      <c r="AT619" s="123"/>
    </row>
    <row r="620" spans="2:46" ht="15" customHeight="1" x14ac:dyDescent="0.25">
      <c r="C620" s="1"/>
      <c r="F620" s="221"/>
      <c r="G620" s="232"/>
      <c r="H620" s="225"/>
      <c r="I620" s="222" t="str">
        <f>IF($C$1="ENG","door handle-lock (for sliding doors)","ручка-замок (для дверей купе)")</f>
        <v>ручка-замок (для дверей купе)</v>
      </c>
      <c r="J620" s="237">
        <f>IF(AF620="","",(1-$W$2)*(AF620/1.2))</f>
        <v>533.33333333333337</v>
      </c>
      <c r="K620" s="228">
        <f>IF($W$5=0.2,J620*1.2,J620)/$W$4</f>
        <v>640</v>
      </c>
      <c r="L620" s="190"/>
      <c r="AF620" s="218">
        <v>640</v>
      </c>
      <c r="AI620" s="8"/>
      <c r="AN620" s="1"/>
    </row>
    <row r="621" spans="2:46" x14ac:dyDescent="0.25">
      <c r="C621" s="110"/>
      <c r="D621" s="21"/>
      <c r="E621" s="21"/>
      <c r="F621" s="21"/>
      <c r="G621" s="21"/>
      <c r="H621" s="5"/>
    </row>
    <row r="622" spans="2:46" x14ac:dyDescent="0.25">
      <c r="C622" s="110"/>
      <c r="D622" s="21"/>
      <c r="E622" s="21"/>
      <c r="F622" s="21"/>
      <c r="G622" s="21"/>
      <c r="H622" s="5"/>
    </row>
    <row r="623" spans="2:46" x14ac:dyDescent="0.25">
      <c r="C623" s="110"/>
      <c r="D623" s="21"/>
      <c r="E623" s="21"/>
      <c r="F623" s="21"/>
      <c r="G623" s="21"/>
      <c r="H623" s="5"/>
    </row>
    <row r="624" spans="2:46" x14ac:dyDescent="0.25">
      <c r="C624" s="110"/>
      <c r="D624" s="21"/>
      <c r="E624" s="21"/>
      <c r="F624" s="21"/>
      <c r="G624" s="21"/>
      <c r="H624" s="5"/>
    </row>
    <row r="625" spans="2:46" s="8" customFormat="1" ht="24.9" customHeight="1" x14ac:dyDescent="0.25">
      <c r="B625" s="246" t="str">
        <f>TITLE!C28</f>
        <v>Полотна збірні: EVA</v>
      </c>
      <c r="C625" s="244"/>
      <c r="D625" s="245"/>
      <c r="E625" s="245"/>
      <c r="F625" s="216"/>
      <c r="G625" s="216"/>
      <c r="H625" s="216"/>
      <c r="I625" s="217"/>
      <c r="J625" s="217"/>
      <c r="K625" s="217"/>
      <c r="L625" s="217"/>
      <c r="M625" s="217"/>
      <c r="N625" s="217"/>
      <c r="O625" s="217"/>
      <c r="P625" s="217"/>
      <c r="Q625" s="217"/>
      <c r="R625" s="217"/>
      <c r="S625" s="217"/>
      <c r="T625" s="217"/>
      <c r="U625" s="217"/>
      <c r="V625" s="217"/>
      <c r="W625" s="217"/>
      <c r="X625" s="185"/>
      <c r="AN625" s="123"/>
      <c r="AO625" s="123"/>
      <c r="AP625" s="123"/>
      <c r="AQ625" s="123"/>
      <c r="AR625" s="123"/>
      <c r="AS625" s="123"/>
      <c r="AT625" s="123"/>
    </row>
    <row r="626" spans="2:46" s="8" customFormat="1" x14ac:dyDescent="0.25">
      <c r="B626" s="83"/>
      <c r="C626" s="162"/>
      <c r="D626" s="247"/>
      <c r="E626" s="247"/>
      <c r="F626" s="247"/>
      <c r="G626" s="247"/>
      <c r="H626" s="10"/>
      <c r="I626" s="264"/>
      <c r="T626" s="90"/>
      <c r="U626" s="90"/>
      <c r="V626" s="90"/>
      <c r="W626" s="90"/>
      <c r="AN626" s="123"/>
      <c r="AO626" s="123"/>
      <c r="AP626" s="123"/>
      <c r="AQ626" s="123"/>
      <c r="AR626" s="123"/>
      <c r="AS626" s="123"/>
      <c r="AT626" s="123"/>
    </row>
    <row r="627" spans="2:46" x14ac:dyDescent="0.25">
      <c r="B627" s="186"/>
      <c r="C627" s="193" t="str">
        <f>IF($C$1="ENG","model:","модель:")</f>
        <v>модель:</v>
      </c>
      <c r="D627" s="186"/>
      <c r="E627" s="196" t="s">
        <v>25</v>
      </c>
      <c r="F627" s="188"/>
      <c r="G627" s="196" t="s">
        <v>20</v>
      </c>
      <c r="H627" s="188"/>
      <c r="I627" s="196" t="s">
        <v>42</v>
      </c>
      <c r="J627" s="188"/>
      <c r="K627" s="265"/>
      <c r="L627" s="248"/>
      <c r="M627" s="248"/>
      <c r="N627" s="248"/>
      <c r="O627" s="248"/>
      <c r="P627" s="186"/>
      <c r="Q627" s="186"/>
      <c r="R627" s="186"/>
      <c r="S627" s="186"/>
      <c r="T627" s="186"/>
      <c r="U627" s="186"/>
      <c r="V627" s="186"/>
      <c r="W627" s="186"/>
      <c r="X627" s="186"/>
    </row>
    <row r="628" spans="2:46" x14ac:dyDescent="0.25">
      <c r="B628" s="186"/>
      <c r="C628" s="187"/>
      <c r="D628" s="186"/>
      <c r="E628" s="197"/>
      <c r="F628" s="186"/>
      <c r="G628" s="197"/>
      <c r="H628" s="186"/>
      <c r="I628" s="197"/>
      <c r="J628" s="186"/>
      <c r="K628" s="200"/>
      <c r="L628" s="200"/>
      <c r="M628" s="200"/>
      <c r="N628" s="200"/>
      <c r="O628" s="200"/>
      <c r="P628" s="186"/>
      <c r="Q628" s="186"/>
      <c r="R628" s="186"/>
      <c r="S628" s="186"/>
      <c r="T628" s="186"/>
      <c r="U628" s="186"/>
      <c r="V628" s="186"/>
      <c r="W628" s="186"/>
      <c r="X628" s="186"/>
    </row>
    <row r="629" spans="2:46" x14ac:dyDescent="0.25">
      <c r="B629" s="186"/>
      <c r="C629" s="187"/>
      <c r="D629" s="186"/>
      <c r="E629" s="197"/>
      <c r="F629" s="186"/>
      <c r="G629" s="197"/>
      <c r="H629" s="186"/>
      <c r="I629" s="197"/>
      <c r="J629" s="186"/>
      <c r="K629" s="200"/>
      <c r="L629" s="200"/>
      <c r="M629" s="200"/>
      <c r="N629" s="200"/>
      <c r="O629" s="200"/>
      <c r="P629" s="186"/>
      <c r="Q629" s="186"/>
      <c r="R629" s="186"/>
      <c r="S629" s="186"/>
      <c r="T629" s="186"/>
      <c r="U629" s="186"/>
      <c r="V629" s="186"/>
      <c r="W629" s="186"/>
      <c r="X629" s="186"/>
    </row>
    <row r="630" spans="2:46" x14ac:dyDescent="0.25">
      <c r="B630" s="186"/>
      <c r="C630" s="187"/>
      <c r="D630" s="186"/>
      <c r="E630" s="197"/>
      <c r="F630" s="186"/>
      <c r="G630" s="197"/>
      <c r="H630" s="186"/>
      <c r="I630" s="197"/>
      <c r="J630" s="186"/>
      <c r="K630" s="200"/>
      <c r="L630" s="200"/>
      <c r="M630" s="200"/>
      <c r="N630" s="200"/>
      <c r="O630" s="200"/>
      <c r="P630" s="186"/>
      <c r="Q630" s="186"/>
      <c r="R630" s="186"/>
      <c r="S630" s="186"/>
      <c r="T630" s="186"/>
      <c r="U630" s="186"/>
      <c r="V630" s="186"/>
      <c r="W630" s="186"/>
      <c r="X630" s="186"/>
    </row>
    <row r="631" spans="2:46" x14ac:dyDescent="0.25">
      <c r="B631" s="186"/>
      <c r="C631" s="187"/>
      <c r="D631" s="186"/>
      <c r="E631" s="197"/>
      <c r="F631" s="186"/>
      <c r="G631" s="197"/>
      <c r="H631" s="186"/>
      <c r="I631" s="197"/>
      <c r="J631" s="186"/>
      <c r="K631" s="200"/>
      <c r="L631" s="200"/>
      <c r="M631" s="200"/>
      <c r="N631" s="200"/>
      <c r="O631" s="200"/>
      <c r="P631" s="186"/>
      <c r="Q631" s="186"/>
      <c r="R631" s="186"/>
      <c r="S631" s="186"/>
      <c r="T631" s="186"/>
      <c r="U631" s="186"/>
      <c r="V631" s="186"/>
      <c r="W631" s="186"/>
      <c r="X631" s="186"/>
    </row>
    <row r="632" spans="2:46" x14ac:dyDescent="0.25">
      <c r="B632" s="186"/>
      <c r="C632" s="187"/>
      <c r="D632" s="186"/>
      <c r="E632" s="197"/>
      <c r="F632" s="186"/>
      <c r="G632" s="197"/>
      <c r="H632" s="186"/>
      <c r="I632" s="197"/>
      <c r="J632" s="186"/>
      <c r="K632" s="200"/>
      <c r="L632" s="200"/>
      <c r="M632" s="200"/>
      <c r="N632" s="200"/>
      <c r="O632" s="200"/>
      <c r="P632" s="186"/>
      <c r="Q632" s="186"/>
      <c r="R632" s="186"/>
      <c r="S632" s="186"/>
      <c r="T632" s="186"/>
      <c r="U632" s="186"/>
      <c r="V632" s="186"/>
      <c r="W632" s="186"/>
      <c r="X632" s="186"/>
    </row>
    <row r="633" spans="2:46" x14ac:dyDescent="0.25">
      <c r="B633" s="186"/>
      <c r="C633" s="187"/>
      <c r="D633" s="186"/>
      <c r="E633" s="197"/>
      <c r="F633" s="186"/>
      <c r="G633" s="197"/>
      <c r="H633" s="186"/>
      <c r="I633" s="197"/>
      <c r="J633" s="186"/>
      <c r="K633" s="200"/>
      <c r="L633" s="200"/>
      <c r="M633" s="200"/>
      <c r="N633" s="200"/>
      <c r="O633" s="200"/>
      <c r="P633" s="186"/>
      <c r="Q633" s="186"/>
      <c r="R633" s="186"/>
      <c r="S633" s="186"/>
      <c r="T633" s="186"/>
      <c r="U633" s="186"/>
      <c r="V633" s="186"/>
      <c r="W633" s="186"/>
      <c r="X633" s="186"/>
    </row>
    <row r="634" spans="2:46" x14ac:dyDescent="0.25">
      <c r="B634" s="186"/>
      <c r="C634" s="187"/>
      <c r="D634" s="186"/>
      <c r="E634" s="197"/>
      <c r="F634" s="186"/>
      <c r="G634" s="197"/>
      <c r="H634" s="186"/>
      <c r="I634" s="197"/>
      <c r="J634" s="186"/>
      <c r="K634" s="200"/>
      <c r="L634" s="200"/>
      <c r="M634" s="200"/>
      <c r="N634" s="200"/>
      <c r="O634" s="200"/>
      <c r="P634" s="186"/>
      <c r="Q634" s="186"/>
      <c r="R634" s="186"/>
      <c r="S634" s="186"/>
      <c r="T634" s="186"/>
      <c r="U634" s="186"/>
      <c r="V634" s="186"/>
      <c r="W634" s="186"/>
      <c r="X634" s="186"/>
    </row>
    <row r="635" spans="2:46" x14ac:dyDescent="0.25">
      <c r="B635" s="186"/>
      <c r="C635" s="1"/>
      <c r="D635" s="186"/>
      <c r="E635" s="197"/>
      <c r="F635" s="186"/>
      <c r="G635" s="197"/>
      <c r="H635" s="186"/>
      <c r="I635" s="197"/>
      <c r="J635" s="186"/>
      <c r="K635" s="200"/>
      <c r="L635" s="200"/>
      <c r="M635" s="200"/>
      <c r="N635" s="200"/>
      <c r="O635" s="200"/>
      <c r="P635" s="186"/>
      <c r="Q635" s="186"/>
      <c r="R635" s="186"/>
      <c r="S635" s="186"/>
      <c r="T635" s="186"/>
      <c r="U635" s="186"/>
      <c r="V635" s="186"/>
      <c r="W635" s="186"/>
      <c r="X635" s="186"/>
    </row>
    <row r="636" spans="2:46" x14ac:dyDescent="0.25">
      <c r="B636" s="186"/>
      <c r="C636" s="187" t="str">
        <f>IF($C$1="ENG","filling:","заповнення:")</f>
        <v>заповнення:</v>
      </c>
      <c r="D636" s="186"/>
      <c r="E636" s="198" t="str">
        <f>IF($C$1="ENG","softwood","клеєний брус")</f>
        <v>клеєний брус</v>
      </c>
      <c r="F636" s="189"/>
      <c r="G636" s="198" t="str">
        <f>IF($C$1="ENG","softwood","клеєний брус")</f>
        <v>клеєний брус</v>
      </c>
      <c r="H636" s="189"/>
      <c r="I636" s="198" t="str">
        <f>IF($C$1="ENG","softwood","клеєний брус")</f>
        <v>клеєний брус</v>
      </c>
      <c r="J636" s="189"/>
      <c r="K636" s="249"/>
      <c r="L636" s="249"/>
      <c r="M636" s="249"/>
      <c r="N636" s="249"/>
      <c r="O636" s="249"/>
      <c r="P636" s="186"/>
      <c r="Q636" s="186"/>
      <c r="R636" s="186"/>
      <c r="S636" s="186"/>
      <c r="T636" s="186"/>
      <c r="U636" s="186"/>
      <c r="V636" s="186"/>
      <c r="W636" s="186"/>
      <c r="X636" s="186"/>
    </row>
    <row r="637" spans="2:46" x14ac:dyDescent="0.25">
      <c r="B637" s="186"/>
      <c r="C637" s="187" t="str">
        <f>IF($C$1="ENG","glazing:","скління:")</f>
        <v>скління:</v>
      </c>
      <c r="D637" s="186"/>
      <c r="E637" s="198" t="str">
        <f>IF($C$1="ENG","Satin","Сатин")</f>
        <v>Сатин</v>
      </c>
      <c r="F637" s="189"/>
      <c r="G637" s="198" t="str">
        <f>IF($C$1="ENG","Satin","Сатин")</f>
        <v>Сатин</v>
      </c>
      <c r="H637" s="189"/>
      <c r="I637" s="198" t="str">
        <f>IF($C$1="ENG","Satin","Сатин")</f>
        <v>Сатин</v>
      </c>
      <c r="J637" s="189"/>
      <c r="K637" s="249"/>
      <c r="L637" s="249"/>
      <c r="M637" s="249"/>
      <c r="N637" s="249"/>
      <c r="O637" s="249"/>
      <c r="P637" s="186"/>
      <c r="Q637" s="186"/>
      <c r="R637" s="186"/>
      <c r="S637" s="186"/>
      <c r="T637" s="186"/>
      <c r="U637" s="186"/>
      <c r="V637" s="186"/>
      <c r="W637" s="186"/>
      <c r="X637" s="186"/>
    </row>
    <row r="638" spans="2:46" x14ac:dyDescent="0.25">
      <c r="D638" s="199"/>
      <c r="E638" s="197"/>
      <c r="F638" s="200"/>
      <c r="G638" s="197"/>
      <c r="H638" s="200"/>
      <c r="I638" s="197"/>
      <c r="J638" s="200"/>
      <c r="K638" s="200"/>
      <c r="L638" s="200"/>
      <c r="M638" s="200"/>
      <c r="N638" s="200"/>
      <c r="O638" s="200"/>
      <c r="P638" s="200"/>
      <c r="Q638" s="200"/>
      <c r="R638" s="200"/>
      <c r="S638" s="200"/>
      <c r="T638" s="200"/>
      <c r="U638" s="200"/>
      <c r="V638" s="200"/>
      <c r="W638" s="200"/>
      <c r="X638" s="186"/>
    </row>
    <row r="639" spans="2:46" s="190" customFormat="1" ht="15" customHeight="1" x14ac:dyDescent="0.25">
      <c r="B639" s="241" t="str">
        <f>IF($C$1="ENG","PRICE","ЦІНА")</f>
        <v>ЦІНА</v>
      </c>
      <c r="C639" s="242" t="str">
        <f>IF($C$1="ENG",IF($W$5=0.2,"with VAT","no VAT"),IF($W$5=0.2,"з ПДВ","без ПДВ"))</f>
        <v>з ПДВ</v>
      </c>
      <c r="D639" s="191"/>
      <c r="E639" s="243"/>
      <c r="F639" s="191"/>
      <c r="G639" s="243"/>
      <c r="H639" s="191"/>
      <c r="I639" s="243"/>
      <c r="J639" s="191"/>
      <c r="K639" s="194"/>
      <c r="L639" s="250"/>
      <c r="M639" s="194"/>
      <c r="N639" s="250"/>
      <c r="O639" s="194"/>
      <c r="P639" s="191"/>
      <c r="Q639" s="191"/>
      <c r="R639" s="191"/>
      <c r="S639" s="191"/>
      <c r="T639" s="191"/>
      <c r="U639" s="191"/>
      <c r="V639" s="191"/>
      <c r="W639" s="191"/>
      <c r="X639" s="191"/>
      <c r="AN639" s="192"/>
      <c r="AO639" s="192"/>
      <c r="AP639" s="192"/>
      <c r="AQ639" s="192"/>
      <c r="AR639" s="192"/>
      <c r="AS639" s="192"/>
      <c r="AT639" s="192"/>
    </row>
    <row r="640" spans="2:46" s="190" customFormat="1" ht="24.9" customHeight="1" x14ac:dyDescent="0.25">
      <c r="B640" s="201" t="str">
        <f>IF($C$1="ENG","Cover:","Покриття:")</f>
        <v>Покриття:</v>
      </c>
      <c r="C640" s="202" t="str">
        <f>IF($C$1="ENG","Verto-CELL","Verto-CELL")</f>
        <v>Verto-CELL</v>
      </c>
      <c r="D640" s="203">
        <f>IF(AC640="","",(1-$W$2)*(AC640/1.2))</f>
        <v>5145.8333333333339</v>
      </c>
      <c r="E640" s="204">
        <f>IF($W$5=0.2,D640*1.2,D640)/$W$4</f>
        <v>6175.0000000000009</v>
      </c>
      <c r="F640" s="203">
        <f>IF(AD640="","",(1-$W$2)*(AD640/1.2))</f>
        <v>5145.8333333333339</v>
      </c>
      <c r="G640" s="204">
        <f>IF($W$5=0.2,F640*1.2,F640)/$W$4</f>
        <v>6175.0000000000009</v>
      </c>
      <c r="H640" s="203">
        <f>IF(AE640="","",(1-$W$2)*(AE640/1.2))</f>
        <v>5145.8333333333339</v>
      </c>
      <c r="I640" s="204">
        <f>IF($W$5=0.2,H640*1.2,H640)/$W$4</f>
        <v>6175.0000000000009</v>
      </c>
      <c r="J640" s="203"/>
      <c r="K640" s="205"/>
      <c r="L640" s="203"/>
      <c r="M640" s="205"/>
      <c r="N640" s="203"/>
      <c r="O640" s="205"/>
      <c r="P640" s="203"/>
      <c r="Q640" s="205"/>
      <c r="R640" s="203"/>
      <c r="S640" s="205"/>
      <c r="T640" s="203"/>
      <c r="U640" s="205"/>
      <c r="V640" s="203"/>
      <c r="W640" s="205"/>
      <c r="X640" s="191"/>
      <c r="AB640" s="195" t="str">
        <f>C640</f>
        <v>Verto-CELL</v>
      </c>
      <c r="AC640" s="219">
        <v>6175</v>
      </c>
      <c r="AD640" s="219">
        <v>6175</v>
      </c>
      <c r="AE640" s="219">
        <v>6175</v>
      </c>
      <c r="AF640" s="219"/>
      <c r="AG640" s="219"/>
      <c r="AH640" s="219"/>
      <c r="AN640" s="192"/>
      <c r="AO640" s="192"/>
      <c r="AP640" s="192"/>
      <c r="AQ640" s="192"/>
      <c r="AR640" s="192"/>
      <c r="AS640" s="192"/>
      <c r="AT640" s="192"/>
    </row>
    <row r="641" spans="2:46" s="190" customFormat="1" ht="24.9" customHeight="1" x14ac:dyDescent="0.25">
      <c r="B641" s="254"/>
      <c r="C641" s="255" t="str">
        <f>IF($C$1="ENG","UNI-MAT","UNI-MAT")</f>
        <v>UNI-MAT</v>
      </c>
      <c r="D641" s="256">
        <f>IF(AC641="","",(1-$W$2)*(AC641/1.2))</f>
        <v>5866.666666666667</v>
      </c>
      <c r="E641" s="257">
        <f>IF($W$5=0.2,D641*1.2,D641)/$W$4</f>
        <v>7040</v>
      </c>
      <c r="F641" s="256">
        <f>IF(AD641="","",(1-$W$2)*(AD641/1.2))</f>
        <v>5866.666666666667</v>
      </c>
      <c r="G641" s="257">
        <f>IF($W$5=0.2,F641*1.2,F641)/$W$4</f>
        <v>7040</v>
      </c>
      <c r="H641" s="256">
        <f>IF(AE641="","",(1-$W$2)*(AE641/1.2))</f>
        <v>5866.666666666667</v>
      </c>
      <c r="I641" s="257">
        <f>IF($W$5=0.2,H641*1.2,H641)/$W$4</f>
        <v>7040</v>
      </c>
      <c r="J641" s="256"/>
      <c r="K641" s="258"/>
      <c r="L641" s="256"/>
      <c r="M641" s="258"/>
      <c r="N641" s="256"/>
      <c r="O641" s="258"/>
      <c r="P641" s="256"/>
      <c r="Q641" s="258"/>
      <c r="R641" s="256"/>
      <c r="S641" s="258"/>
      <c r="T641" s="256"/>
      <c r="U641" s="258"/>
      <c r="V641" s="256"/>
      <c r="W641" s="258"/>
      <c r="X641" s="191"/>
      <c r="AB641" s="195" t="str">
        <f>C641</f>
        <v>UNI-MAT</v>
      </c>
      <c r="AC641" s="219">
        <v>7040</v>
      </c>
      <c r="AD641" s="219">
        <v>7040</v>
      </c>
      <c r="AE641" s="219">
        <v>7040</v>
      </c>
      <c r="AF641" s="219"/>
      <c r="AG641" s="219"/>
      <c r="AH641" s="219"/>
      <c r="AN641" s="192"/>
      <c r="AO641" s="192"/>
      <c r="AP641" s="192"/>
      <c r="AQ641" s="192"/>
      <c r="AR641" s="192"/>
      <c r="AS641" s="192"/>
      <c r="AT641" s="192"/>
    </row>
    <row r="642" spans="2:46" s="190" customFormat="1" ht="24.9" customHeight="1" x14ac:dyDescent="0.25">
      <c r="B642" s="254"/>
      <c r="C642" s="255" t="str">
        <f>IF($C$1="ENG","RESIST","RESIST")</f>
        <v>RESIST</v>
      </c>
      <c r="D642" s="256">
        <f>IF(AC642="","",(1-$W$2)*(AC642/1.2))</f>
        <v>6133.3333333333339</v>
      </c>
      <c r="E642" s="257">
        <f>IF($W$5=0.2,D642*1.2,D642)/$W$4</f>
        <v>7360.0000000000009</v>
      </c>
      <c r="F642" s="256">
        <f>IF(AD642="","",(1-$W$2)*(AD642/1.2))</f>
        <v>6133.3333333333339</v>
      </c>
      <c r="G642" s="257">
        <f>IF($W$5=0.2,F642*1.2,F642)/$W$4</f>
        <v>7360.0000000000009</v>
      </c>
      <c r="H642" s="256">
        <f>IF(AE642="","",(1-$W$2)*(AE642/1.2))</f>
        <v>6133.3333333333339</v>
      </c>
      <c r="I642" s="257">
        <f>IF($W$5=0.2,H642*1.2,H642)/$W$4</f>
        <v>7360.0000000000009</v>
      </c>
      <c r="J642" s="256"/>
      <c r="K642" s="258"/>
      <c r="L642" s="256"/>
      <c r="M642" s="258"/>
      <c r="N642" s="256"/>
      <c r="O642" s="258"/>
      <c r="P642" s="256"/>
      <c r="Q642" s="258"/>
      <c r="R642" s="256"/>
      <c r="S642" s="258"/>
      <c r="T642" s="256"/>
      <c r="U642" s="258"/>
      <c r="V642" s="256"/>
      <c r="W642" s="258"/>
      <c r="X642" s="191"/>
      <c r="AB642" s="195" t="str">
        <f>C642</f>
        <v>RESIST</v>
      </c>
      <c r="AC642" s="219">
        <v>7360</v>
      </c>
      <c r="AD642" s="219">
        <v>7360</v>
      </c>
      <c r="AE642" s="219">
        <v>7360</v>
      </c>
      <c r="AF642" s="219"/>
      <c r="AG642" s="219"/>
      <c r="AH642" s="219"/>
      <c r="AN642" s="192"/>
      <c r="AO642" s="192"/>
      <c r="AP642" s="192"/>
      <c r="AQ642" s="192"/>
      <c r="AR642" s="192"/>
      <c r="AS642" s="192"/>
      <c r="AT642" s="192"/>
    </row>
    <row r="643" spans="2:46" s="190" customFormat="1" ht="24.9" customHeight="1" x14ac:dyDescent="0.25">
      <c r="B643" s="254"/>
      <c r="C643" s="255" t="str">
        <f>IF($C$1="ENG","Verto LINE-3D","Verto LINE-3D")</f>
        <v>Verto LINE-3D</v>
      </c>
      <c r="D643" s="256">
        <f>IF(AC643="","",(1-$W$2)*(AC643/1.2))</f>
        <v>6725</v>
      </c>
      <c r="E643" s="257">
        <f>IF($W$5=0.2,D643*1.2,D643)/$W$4</f>
        <v>8070</v>
      </c>
      <c r="F643" s="256">
        <f>IF(AD643="","",(1-$W$2)*(AD643/1.2))</f>
        <v>6725</v>
      </c>
      <c r="G643" s="257">
        <f>IF($W$5=0.2,F643*1.2,F643)/$W$4</f>
        <v>8070</v>
      </c>
      <c r="H643" s="256">
        <f>IF(AE643="","",(1-$W$2)*(AE643/1.2))</f>
        <v>6725</v>
      </c>
      <c r="I643" s="257">
        <f>IF($W$5=0.2,H643*1.2,H643)/$W$4</f>
        <v>8070</v>
      </c>
      <c r="J643" s="256"/>
      <c r="K643" s="258"/>
      <c r="L643" s="256"/>
      <c r="M643" s="258"/>
      <c r="N643" s="256"/>
      <c r="O643" s="258"/>
      <c r="P643" s="256"/>
      <c r="Q643" s="258"/>
      <c r="R643" s="256"/>
      <c r="S643" s="258"/>
      <c r="T643" s="256"/>
      <c r="U643" s="258"/>
      <c r="V643" s="256"/>
      <c r="W643" s="258"/>
      <c r="X643" s="191"/>
      <c r="AB643" s="195" t="str">
        <f>C643</f>
        <v>Verto LINE-3D</v>
      </c>
      <c r="AC643" s="219">
        <v>8070</v>
      </c>
      <c r="AD643" s="219">
        <v>8070</v>
      </c>
      <c r="AE643" s="219">
        <v>8070</v>
      </c>
      <c r="AF643" s="219"/>
      <c r="AG643" s="219"/>
      <c r="AH643" s="219"/>
      <c r="AN643" s="192"/>
      <c r="AO643" s="192"/>
      <c r="AP643" s="192"/>
      <c r="AQ643" s="192"/>
      <c r="AR643" s="192"/>
      <c r="AS643" s="192"/>
      <c r="AT643" s="192"/>
    </row>
    <row r="644" spans="2:46" s="190" customFormat="1" ht="24.9" customHeight="1" x14ac:dyDescent="0.25">
      <c r="B644" s="206"/>
      <c r="C644" s="207" t="str">
        <f>IF($C$1="ENG","Premium","Premium")</f>
        <v>Premium</v>
      </c>
      <c r="D644" s="208">
        <f>IF(AC644="","",(1-$W$2)*(AC644/1.2))</f>
        <v>7041.666666666667</v>
      </c>
      <c r="E644" s="209">
        <f>IF($W$5=0.2,D644*1.2,D644)/$W$4</f>
        <v>8450</v>
      </c>
      <c r="F644" s="208">
        <f>IF(AD644="","",(1-$W$2)*(AD644/1.2))</f>
        <v>7041.666666666667</v>
      </c>
      <c r="G644" s="209">
        <f>IF($W$5=0.2,F644*1.2,F644)/$W$4</f>
        <v>8450</v>
      </c>
      <c r="H644" s="208">
        <f>IF(AE644="","",(1-$W$2)*(AE644/1.2))</f>
        <v>7041.666666666667</v>
      </c>
      <c r="I644" s="209">
        <f>IF($W$5=0.2,H644*1.2,H644)/$W$4</f>
        <v>8450</v>
      </c>
      <c r="J644" s="208"/>
      <c r="K644" s="210"/>
      <c r="L644" s="208"/>
      <c r="M644" s="210"/>
      <c r="N644" s="208"/>
      <c r="O644" s="210"/>
      <c r="P644" s="208"/>
      <c r="Q644" s="210"/>
      <c r="R644" s="208"/>
      <c r="S644" s="210"/>
      <c r="T644" s="208"/>
      <c r="U644" s="210"/>
      <c r="V644" s="208"/>
      <c r="W644" s="210"/>
      <c r="X644" s="191"/>
      <c r="AB644" s="195" t="str">
        <f>C644</f>
        <v>Premium</v>
      </c>
      <c r="AC644" s="219">
        <v>8450</v>
      </c>
      <c r="AD644" s="219">
        <v>8450</v>
      </c>
      <c r="AE644" s="219">
        <v>8450</v>
      </c>
      <c r="AF644" s="219"/>
      <c r="AG644" s="219"/>
      <c r="AH644" s="219"/>
      <c r="AN644" s="192"/>
      <c r="AO644" s="192"/>
      <c r="AP644" s="192"/>
      <c r="AQ644" s="192"/>
      <c r="AR644" s="192"/>
      <c r="AS644" s="192"/>
      <c r="AT644" s="192"/>
    </row>
    <row r="645" spans="2:46" x14ac:dyDescent="0.25">
      <c r="B645" s="187"/>
      <c r="C645" s="1"/>
      <c r="D645" s="186"/>
      <c r="E645" s="186"/>
      <c r="F645" s="186"/>
      <c r="G645" s="186"/>
      <c r="H645" s="186"/>
      <c r="I645" s="186"/>
      <c r="J645" s="186"/>
      <c r="K645" s="186"/>
      <c r="L645" s="186"/>
      <c r="M645" s="200"/>
      <c r="N645" s="186"/>
      <c r="O645" s="186"/>
      <c r="P645" s="186"/>
      <c r="Q645" s="186"/>
      <c r="R645" s="186"/>
      <c r="S645" s="186"/>
      <c r="T645" s="186"/>
      <c r="U645" s="186"/>
      <c r="V645" s="186"/>
      <c r="W645" s="186"/>
      <c r="X645" s="186"/>
    </row>
    <row r="646" spans="2:46" x14ac:dyDescent="0.25">
      <c r="B646" s="211" t="str">
        <f>IF($C$1="ENG","For additonal charge:","Послуги за додаткову плату:")</f>
        <v>Послуги за додаткову плату:</v>
      </c>
      <c r="C646" s="212"/>
      <c r="D646" s="213"/>
      <c r="E646" s="214" t="str">
        <f>CONCATENATE(B639," ",C639)</f>
        <v>ЦІНА з ПДВ</v>
      </c>
      <c r="F646" s="215"/>
      <c r="G646" s="215"/>
      <c r="H646" s="215"/>
      <c r="I646" s="215"/>
      <c r="J646" s="215"/>
      <c r="K646" s="215"/>
      <c r="L646" s="215"/>
      <c r="M646" s="215"/>
      <c r="N646" s="215"/>
      <c r="O646" s="215"/>
      <c r="P646" s="215"/>
      <c r="Q646" s="215"/>
      <c r="R646" s="215"/>
      <c r="S646" s="215"/>
      <c r="T646" s="215"/>
      <c r="U646" s="215"/>
      <c r="V646" s="215"/>
      <c r="W646" s="215"/>
      <c r="X646" s="186"/>
    </row>
    <row r="647" spans="2:46" x14ac:dyDescent="0.25">
      <c r="B647" s="187"/>
      <c r="C647" s="1"/>
      <c r="D647" s="186"/>
      <c r="E647" s="186"/>
      <c r="F647" s="186"/>
      <c r="G647" s="186"/>
      <c r="H647" s="186"/>
      <c r="I647" s="186"/>
      <c r="J647" s="186"/>
      <c r="K647" s="186"/>
      <c r="L647" s="186"/>
      <c r="M647" s="186"/>
      <c r="N647" s="186"/>
      <c r="O647" s="186"/>
      <c r="P647" s="186"/>
      <c r="Q647" s="186"/>
      <c r="R647" s="186"/>
      <c r="S647" s="186"/>
      <c r="T647" s="186"/>
      <c r="U647" s="186"/>
      <c r="V647" s="186"/>
      <c r="W647" s="186"/>
      <c r="X647" s="186"/>
    </row>
    <row r="648" spans="2:46" ht="15" customHeight="1" x14ac:dyDescent="0.25">
      <c r="B648" s="224"/>
      <c r="C648" s="223" t="str">
        <f>IF($C$1="ENG","door leaf with width 100","полотно розміром 100")</f>
        <v>полотно розміром 100</v>
      </c>
      <c r="D648" s="236">
        <f>IF(AC648="","",(1-$W$2)*(AC648/1.2))</f>
        <v>691.66666666666674</v>
      </c>
      <c r="E648" s="227">
        <f>IF($W$5=0.2,D648*1.2,D648)/$W$4</f>
        <v>830.00000000000011</v>
      </c>
      <c r="F648" s="191"/>
      <c r="G648" s="229"/>
      <c r="H648" s="224"/>
      <c r="I648" s="223" t="str">
        <f>IF($C$1="ENG","door lock Soft","замок Soft")</f>
        <v>замок Soft</v>
      </c>
      <c r="J648" s="238">
        <f>IF(AF648="","",(1-$W$2)*(AF648/1.2))</f>
        <v>525</v>
      </c>
      <c r="K648" s="227">
        <f>IF($W$5=0.2,J648*1.2,J648)/$W$4</f>
        <v>630</v>
      </c>
      <c r="L648" s="191"/>
      <c r="M648" s="229"/>
      <c r="N648" s="224"/>
      <c r="O648" s="223" t="str">
        <f>IF($C$1="ENG","cylinder incert","циліндр несиметричний")</f>
        <v>циліндр несиметричний</v>
      </c>
      <c r="P648" s="236">
        <f>IF(AI648="","",(1-$W$2)*(AI648/1.2))</f>
        <v>375</v>
      </c>
      <c r="Q648" s="227">
        <f>IF($W$5=0.2,P648*1.2,P648)/$W$4</f>
        <v>450</v>
      </c>
      <c r="R648" s="186"/>
      <c r="S648" s="186"/>
      <c r="T648" s="186"/>
      <c r="U648" s="186"/>
      <c r="V648" s="186"/>
      <c r="W648" s="186"/>
      <c r="X648" s="186"/>
      <c r="AC648" s="218">
        <v>830</v>
      </c>
      <c r="AF648" s="218">
        <v>630</v>
      </c>
      <c r="AI648" s="218">
        <v>450</v>
      </c>
    </row>
    <row r="649" spans="2:46" ht="15" customHeight="1" x14ac:dyDescent="0.25">
      <c r="B649" s="225"/>
      <c r="C649" s="222" t="str">
        <f>IF($C$1="ENG","Ventilation cut","вентиляційний підріз")</f>
        <v>вентиляційний підріз</v>
      </c>
      <c r="D649" s="237">
        <f>IF(AC649="","",(1-$W$2)*(AC649/1.2))</f>
        <v>162.5</v>
      </c>
      <c r="E649" s="228">
        <f>IF($W$5=0.2,D649*1.2,D649)/$W$4</f>
        <v>195</v>
      </c>
      <c r="F649" s="191"/>
      <c r="G649" s="230"/>
      <c r="H649" s="225"/>
      <c r="I649" s="222" t="str">
        <f>IF($C$1="ENG","door lock Soft black","замок Soft чорн.")</f>
        <v>замок Soft чорн.</v>
      </c>
      <c r="J649" s="239">
        <f>IF(AF649="","",(1-$W$2)*(AF649/1.2))</f>
        <v>650</v>
      </c>
      <c r="K649" s="228">
        <f>IF($W$5=0.2,J649*1.2,J649)/$W$4</f>
        <v>780</v>
      </c>
      <c r="L649" s="191"/>
      <c r="M649" s="230"/>
      <c r="N649" s="225"/>
      <c r="O649" s="222" t="str">
        <f>IF($C$1="ENG","door hindge Prestige (1 unit)","завіса Prestige (1 шт)")</f>
        <v>завіса Prestige (1 шт)</v>
      </c>
      <c r="P649" s="240">
        <f>IF(AI649="","",(1-$W$2)*(AI649/1.2))</f>
        <v>250</v>
      </c>
      <c r="Q649" s="228">
        <f>IF($W$5=0.2,P649*1.2,P649)/$W$4</f>
        <v>300</v>
      </c>
      <c r="R649" s="186"/>
      <c r="S649" s="186"/>
      <c r="T649" s="186"/>
      <c r="U649" s="186"/>
      <c r="V649" s="186"/>
      <c r="W649" s="186"/>
      <c r="X649" s="186"/>
      <c r="AC649" s="218">
        <v>195</v>
      </c>
      <c r="AF649" s="218">
        <v>780</v>
      </c>
      <c r="AI649" s="218">
        <v>300</v>
      </c>
    </row>
    <row r="650" spans="2:46" ht="15" customHeight="1" x14ac:dyDescent="0.25">
      <c r="B650" s="225"/>
      <c r="C650" s="222" t="str">
        <f>IF($C$1="ENG","glazing Graphite / Bronze","скло Графіт / Бронза")</f>
        <v>скло Графіт / Бронза</v>
      </c>
      <c r="D650" s="237">
        <f>IF(AC650="","",(1-$W$2)*(AC650/1.2))</f>
        <v>525</v>
      </c>
      <c r="E650" s="228">
        <f>IF($W$5=0.2,D650*1.2,D650)/$W$4</f>
        <v>630</v>
      </c>
      <c r="F650" s="191"/>
      <c r="G650" s="230"/>
      <c r="H650" s="225"/>
      <c r="I650" s="222" t="str">
        <f>IF($C$1="ENG","door lock Magnet","замок Magnet")</f>
        <v>замок Magnet</v>
      </c>
      <c r="J650" s="239">
        <f>IF(AF650="","",(1-$W$2)*(AF650/1.2))</f>
        <v>766.66666666666674</v>
      </c>
      <c r="K650" s="228">
        <f>IF($W$5=0.2,J650*1.2,J650)/$W$4</f>
        <v>920.00000000000011</v>
      </c>
      <c r="L650" s="191"/>
      <c r="M650" s="230"/>
      <c r="N650" s="225"/>
      <c r="O650" s="222" t="str">
        <f>IF($C$1="ENG","door hinge caps (1 set)","накладка на завіси (1 к-т)")</f>
        <v>накладка на завіси (1 к-т)</v>
      </c>
      <c r="P650" s="240">
        <f>IF(AI650="","",(1-$W$2)*(AI650/1.2))</f>
        <v>75</v>
      </c>
      <c r="Q650" s="228">
        <f>IF($W$5=0.2,P650*1.2,P650)/$W$4</f>
        <v>90</v>
      </c>
      <c r="R650" s="186"/>
      <c r="S650" s="186"/>
      <c r="T650" s="186"/>
      <c r="U650" s="186"/>
      <c r="V650" s="186"/>
      <c r="W650" s="186"/>
      <c r="X650" s="186"/>
      <c r="AC650" s="218">
        <v>630</v>
      </c>
      <c r="AF650" s="218">
        <v>920</v>
      </c>
      <c r="AI650" s="218">
        <v>90</v>
      </c>
    </row>
    <row r="651" spans="2:46" s="8" customFormat="1" ht="15" customHeight="1" x14ac:dyDescent="0.25">
      <c r="B651" s="225"/>
      <c r="C651" s="222" t="str">
        <f>IF($C$1="ENG","glazing Lacobel black ","скло Lacobel чорне")</f>
        <v>скло Lacobel чорне</v>
      </c>
      <c r="D651" s="237">
        <f>IF(AC651="","",(1-$W$2)*(AC651/1.2))</f>
        <v>525</v>
      </c>
      <c r="E651" s="228">
        <f>IF($W$5=0.2,D651*1.2,D651)/$W$4</f>
        <v>630</v>
      </c>
      <c r="F651" s="184"/>
      <c r="G651" s="231"/>
      <c r="H651" s="226"/>
      <c r="I651" s="222" t="str">
        <f>IF($C$1="ENG","door lock Magnet black","замок Magnet чорн.")</f>
        <v>замок Magnet чорн.</v>
      </c>
      <c r="J651" s="239">
        <f>IF(AF651="","",(1-$W$2)*(AF651/1.2))</f>
        <v>958.33333333333337</v>
      </c>
      <c r="K651" s="228">
        <f>IF($W$5=0.2,J651*1.2,J651)/$W$4</f>
        <v>1150</v>
      </c>
      <c r="L651" s="220"/>
      <c r="M651" s="233"/>
      <c r="N651" s="226"/>
      <c r="O651" s="222" t="str">
        <f>IF($C$1="ENG","door handle","дверна ручка")</f>
        <v>дверна ручка</v>
      </c>
      <c r="P651" s="237">
        <f>IF(AI651="","",(1-$W$2)*(AI651/1.2))</f>
        <v>0</v>
      </c>
      <c r="Q651" s="235" t="str">
        <f>IF($C$1="ENG","see Handles Price","див. Таблицю Ручки")</f>
        <v>див. Таблицю Ручки</v>
      </c>
      <c r="AC651" s="218">
        <v>630</v>
      </c>
      <c r="AF651" s="218">
        <v>1150</v>
      </c>
      <c r="AI651" s="218">
        <v>0</v>
      </c>
      <c r="AN651" s="123"/>
      <c r="AO651" s="123"/>
      <c r="AP651" s="123"/>
      <c r="AQ651" s="123"/>
      <c r="AR651" s="123"/>
      <c r="AS651" s="123"/>
      <c r="AT651" s="123"/>
    </row>
    <row r="652" spans="2:46" ht="15" customHeight="1" x14ac:dyDescent="0.25">
      <c r="C652" s="1"/>
      <c r="F652" s="221"/>
      <c r="G652" s="232"/>
      <c r="H652" s="225"/>
      <c r="I652" s="222" t="str">
        <f>IF($C$1="ENG","door handle-lock (for sliding doors)","ручка-замок (для дверей купе)")</f>
        <v>ручка-замок (для дверей купе)</v>
      </c>
      <c r="J652" s="237">
        <f>IF(AF652="","",(1-$W$2)*(AF652/1.2))</f>
        <v>533.33333333333337</v>
      </c>
      <c r="K652" s="228">
        <f>IF($W$5=0.2,J652*1.2,J652)/$W$4</f>
        <v>640</v>
      </c>
      <c r="L652" s="190"/>
      <c r="AF652" s="218">
        <v>640</v>
      </c>
      <c r="AI652" s="8"/>
      <c r="AN652" s="1"/>
    </row>
    <row r="653" spans="2:46" x14ac:dyDescent="0.25">
      <c r="C653" s="110"/>
      <c r="D653" s="21"/>
      <c r="E653" s="21"/>
      <c r="F653" s="21"/>
      <c r="G653" s="21"/>
      <c r="H653" s="5"/>
    </row>
    <row r="654" spans="2:46" s="8" customFormat="1" x14ac:dyDescent="0.25">
      <c r="B654" s="83"/>
      <c r="C654" s="162"/>
      <c r="D654" s="10"/>
      <c r="E654" s="10"/>
      <c r="F654" s="10"/>
      <c r="G654" s="10"/>
      <c r="H654" s="93"/>
      <c r="I654" s="93"/>
      <c r="T654" s="82"/>
      <c r="U654" s="82"/>
      <c r="V654" s="82"/>
      <c r="W654" s="82"/>
      <c r="AN654" s="123"/>
      <c r="AO654" s="123"/>
      <c r="AP654" s="123"/>
      <c r="AQ654" s="123"/>
      <c r="AR654" s="123"/>
      <c r="AS654" s="123"/>
      <c r="AT654" s="123"/>
    </row>
    <row r="655" spans="2:46" s="8" customFormat="1" x14ac:dyDescent="0.25">
      <c r="B655" s="83"/>
      <c r="C655" s="162"/>
      <c r="D655" s="10"/>
      <c r="E655" s="10"/>
      <c r="F655" s="10"/>
      <c r="G655" s="10"/>
      <c r="H655" s="93"/>
      <c r="I655" s="93"/>
      <c r="T655" s="82"/>
      <c r="U655" s="82"/>
      <c r="V655" s="82"/>
      <c r="W655" s="82"/>
      <c r="AN655" s="123"/>
      <c r="AO655" s="123"/>
      <c r="AP655" s="123"/>
      <c r="AQ655" s="123"/>
      <c r="AR655" s="123"/>
      <c r="AS655" s="123"/>
      <c r="AT655" s="123"/>
    </row>
    <row r="656" spans="2:46" x14ac:dyDescent="0.25">
      <c r="C656" s="110"/>
      <c r="D656" s="21"/>
      <c r="E656" s="21"/>
      <c r="F656" s="21"/>
      <c r="G656" s="21"/>
      <c r="H656" s="5"/>
      <c r="T656" s="82"/>
      <c r="U656" s="82"/>
      <c r="V656" s="82"/>
      <c r="W656" s="82"/>
    </row>
    <row r="657" spans="2:46" s="8" customFormat="1" ht="24.9" customHeight="1" x14ac:dyDescent="0.25">
      <c r="B657" s="246" t="str">
        <f>TITLE!$C$29</f>
        <v>Полотна скляні: LINEYA</v>
      </c>
      <c r="C657" s="244"/>
      <c r="D657" s="245"/>
      <c r="E657" s="245"/>
      <c r="F657" s="216"/>
      <c r="G657" s="216"/>
      <c r="H657" s="216"/>
      <c r="I657" s="217"/>
      <c r="J657" s="217"/>
      <c r="K657" s="217"/>
      <c r="L657" s="217"/>
      <c r="M657" s="217"/>
      <c r="N657" s="217"/>
      <c r="O657" s="217"/>
      <c r="P657" s="217"/>
      <c r="Q657" s="217"/>
      <c r="R657" s="217"/>
      <c r="S657" s="217"/>
      <c r="T657" s="217"/>
      <c r="U657" s="217"/>
      <c r="V657" s="217"/>
      <c r="W657" s="217"/>
      <c r="X657" s="185"/>
      <c r="AN657" s="123"/>
      <c r="AO657" s="123"/>
      <c r="AP657" s="123"/>
      <c r="AQ657" s="123"/>
      <c r="AR657" s="123"/>
      <c r="AS657" s="123"/>
      <c r="AT657" s="123"/>
    </row>
    <row r="658" spans="2:46" s="8" customFormat="1" x14ac:dyDescent="0.25">
      <c r="B658" s="83"/>
      <c r="C658" s="162"/>
      <c r="D658" s="247"/>
      <c r="E658" s="247"/>
      <c r="F658" s="247"/>
      <c r="G658" s="247"/>
      <c r="H658" s="10"/>
      <c r="I658" s="264"/>
      <c r="T658" s="90"/>
      <c r="U658" s="90"/>
      <c r="V658" s="90"/>
      <c r="W658" s="90"/>
      <c r="AN658" s="123"/>
      <c r="AO658" s="123"/>
      <c r="AP658" s="123"/>
      <c r="AQ658" s="123"/>
      <c r="AR658" s="123"/>
      <c r="AS658" s="123"/>
      <c r="AT658" s="123"/>
    </row>
    <row r="659" spans="2:46" x14ac:dyDescent="0.25">
      <c r="B659" s="186"/>
      <c r="C659" s="193" t="str">
        <f>IF($C$1="ENG","model:","модель:")</f>
        <v>модель:</v>
      </c>
      <c r="D659" s="186"/>
      <c r="E659" s="196">
        <v>1</v>
      </c>
      <c r="F659" s="188"/>
      <c r="G659" s="196">
        <v>3</v>
      </c>
      <c r="H659" s="188"/>
      <c r="I659" s="196">
        <v>4</v>
      </c>
      <c r="J659" s="188"/>
      <c r="K659" s="265"/>
      <c r="L659" s="248"/>
      <c r="M659" s="248"/>
      <c r="N659" s="248"/>
      <c r="O659" s="248"/>
      <c r="P659" s="186"/>
      <c r="Q659" s="186"/>
      <c r="R659" s="186"/>
      <c r="S659" s="186"/>
      <c r="T659" s="186"/>
      <c r="U659" s="186"/>
      <c r="V659" s="186"/>
      <c r="W659" s="186"/>
      <c r="X659" s="186"/>
    </row>
    <row r="660" spans="2:46" x14ac:dyDescent="0.25">
      <c r="B660" s="186"/>
      <c r="C660" s="187"/>
      <c r="D660" s="186"/>
      <c r="E660" s="197"/>
      <c r="F660" s="186"/>
      <c r="G660" s="197"/>
      <c r="H660" s="186"/>
      <c r="I660" s="197"/>
      <c r="J660" s="186"/>
      <c r="K660" s="200"/>
      <c r="L660" s="200"/>
      <c r="M660" s="200"/>
      <c r="N660" s="200"/>
      <c r="O660" s="200"/>
      <c r="P660" s="186"/>
      <c r="Q660" s="186"/>
      <c r="R660" s="186"/>
      <c r="S660" s="186"/>
      <c r="T660" s="186"/>
      <c r="U660" s="186"/>
      <c r="V660" s="186"/>
      <c r="W660" s="186"/>
      <c r="X660" s="186"/>
    </row>
    <row r="661" spans="2:46" x14ac:dyDescent="0.25">
      <c r="B661" s="186"/>
      <c r="C661" s="187"/>
      <c r="D661" s="186"/>
      <c r="E661" s="197"/>
      <c r="F661" s="186"/>
      <c r="G661" s="197"/>
      <c r="H661" s="186"/>
      <c r="I661" s="197"/>
      <c r="J661" s="186"/>
      <c r="K661" s="200"/>
      <c r="L661" s="200"/>
      <c r="M661" s="200"/>
      <c r="N661" s="200"/>
      <c r="O661" s="200"/>
      <c r="P661" s="186"/>
      <c r="Q661" s="186"/>
      <c r="R661" s="186"/>
      <c r="S661" s="186"/>
      <c r="T661" s="186"/>
      <c r="U661" s="186"/>
      <c r="V661" s="186"/>
      <c r="W661" s="186"/>
      <c r="X661" s="186"/>
    </row>
    <row r="662" spans="2:46" x14ac:dyDescent="0.25">
      <c r="B662" s="186"/>
      <c r="C662" s="187"/>
      <c r="D662" s="186"/>
      <c r="E662" s="197"/>
      <c r="F662" s="186"/>
      <c r="G662" s="197"/>
      <c r="H662" s="186"/>
      <c r="I662" s="197"/>
      <c r="J662" s="186"/>
      <c r="K662" s="200"/>
      <c r="L662" s="200"/>
      <c r="M662" s="200"/>
      <c r="N662" s="200"/>
      <c r="O662" s="200"/>
      <c r="P662" s="186"/>
      <c r="Q662" s="186"/>
      <c r="R662" s="186"/>
      <c r="S662" s="186"/>
      <c r="T662" s="186"/>
      <c r="U662" s="186"/>
      <c r="V662" s="186"/>
      <c r="W662" s="186"/>
      <c r="X662" s="186"/>
    </row>
    <row r="663" spans="2:46" x14ac:dyDescent="0.25">
      <c r="B663" s="186"/>
      <c r="C663" s="187"/>
      <c r="D663" s="186"/>
      <c r="E663" s="197"/>
      <c r="F663" s="186"/>
      <c r="G663" s="197"/>
      <c r="H663" s="186"/>
      <c r="I663" s="197"/>
      <c r="J663" s="186"/>
      <c r="K663" s="200"/>
      <c r="L663" s="200"/>
      <c r="M663" s="200"/>
      <c r="N663" s="200"/>
      <c r="O663" s="200"/>
      <c r="P663" s="186"/>
      <c r="Q663" s="186"/>
      <c r="R663" s="186"/>
      <c r="S663" s="186"/>
      <c r="T663" s="186"/>
      <c r="U663" s="186"/>
      <c r="V663" s="186"/>
      <c r="W663" s="186"/>
      <c r="X663" s="186"/>
    </row>
    <row r="664" spans="2:46" x14ac:dyDescent="0.25">
      <c r="B664" s="186"/>
      <c r="C664" s="187"/>
      <c r="D664" s="186"/>
      <c r="E664" s="197"/>
      <c r="F664" s="186"/>
      <c r="G664" s="197"/>
      <c r="H664" s="186"/>
      <c r="I664" s="197"/>
      <c r="J664" s="186"/>
      <c r="K664" s="200"/>
      <c r="L664" s="200"/>
      <c r="M664" s="200"/>
      <c r="N664" s="200"/>
      <c r="O664" s="200"/>
      <c r="P664" s="186"/>
      <c r="Q664" s="186"/>
      <c r="R664" s="186"/>
      <c r="S664" s="186"/>
      <c r="T664" s="186"/>
      <c r="U664" s="186"/>
      <c r="V664" s="186"/>
      <c r="W664" s="186"/>
      <c r="X664" s="186"/>
    </row>
    <row r="665" spans="2:46" x14ac:dyDescent="0.25">
      <c r="B665" s="186"/>
      <c r="C665" s="187"/>
      <c r="D665" s="186"/>
      <c r="E665" s="197"/>
      <c r="F665" s="186"/>
      <c r="G665" s="197"/>
      <c r="H665" s="186"/>
      <c r="I665" s="197"/>
      <c r="J665" s="186"/>
      <c r="K665" s="200"/>
      <c r="L665" s="200"/>
      <c r="M665" s="200"/>
      <c r="N665" s="200"/>
      <c r="O665" s="200"/>
      <c r="P665" s="186"/>
      <c r="Q665" s="186"/>
      <c r="R665" s="186"/>
      <c r="S665" s="186"/>
      <c r="T665" s="186"/>
      <c r="U665" s="186"/>
      <c r="V665" s="186"/>
      <c r="W665" s="186"/>
      <c r="X665" s="186"/>
    </row>
    <row r="666" spans="2:46" x14ac:dyDescent="0.25">
      <c r="B666" s="186"/>
      <c r="C666" s="187"/>
      <c r="D666" s="186"/>
      <c r="E666" s="197"/>
      <c r="F666" s="186"/>
      <c r="G666" s="197"/>
      <c r="H666" s="186"/>
      <c r="I666" s="197"/>
      <c r="J666" s="186"/>
      <c r="K666" s="200"/>
      <c r="L666" s="200"/>
      <c r="M666" s="200"/>
      <c r="N666" s="200"/>
      <c r="O666" s="200"/>
      <c r="P666" s="186"/>
      <c r="Q666" s="186"/>
      <c r="R666" s="186"/>
      <c r="S666" s="186"/>
      <c r="T666" s="186"/>
      <c r="U666" s="186"/>
      <c r="V666" s="186"/>
      <c r="W666" s="186"/>
      <c r="X666" s="186"/>
    </row>
    <row r="667" spans="2:46" x14ac:dyDescent="0.25">
      <c r="B667" s="186"/>
      <c r="C667" s="1"/>
      <c r="D667" s="186"/>
      <c r="E667" s="197"/>
      <c r="F667" s="186"/>
      <c r="G667" s="197"/>
      <c r="H667" s="186"/>
      <c r="I667" s="197"/>
      <c r="J667" s="186"/>
      <c r="K667" s="200"/>
      <c r="L667" s="200"/>
      <c r="M667" s="200"/>
      <c r="N667" s="200"/>
      <c r="O667" s="200"/>
      <c r="P667" s="186"/>
      <c r="Q667" s="186"/>
      <c r="R667" s="186"/>
      <c r="S667" s="186"/>
      <c r="T667" s="186"/>
      <c r="U667" s="186"/>
      <c r="V667" s="186"/>
      <c r="W667" s="186"/>
      <c r="X667" s="186"/>
    </row>
    <row r="668" spans="2:46" x14ac:dyDescent="0.25">
      <c r="B668" s="186"/>
      <c r="C668" s="187" t="str">
        <f>IF($C$1="ENG","filling:","заповнення:")</f>
        <v>заповнення:</v>
      </c>
      <c r="D668" s="186"/>
      <c r="E668" s="198" t="str">
        <f>IF($C$1="ENG","honeycomb","сотове заповн.")</f>
        <v>сотове заповн.</v>
      </c>
      <c r="F668" s="189"/>
      <c r="G668" s="198" t="str">
        <f>IF($C$1="ENG","honeycomb","сотове заповн.")</f>
        <v>сотове заповн.</v>
      </c>
      <c r="H668" s="189"/>
      <c r="I668" s="198" t="str">
        <f>IF($C$1="ENG","softwood","клеєний брус")</f>
        <v>клеєний брус</v>
      </c>
      <c r="J668" s="189"/>
      <c r="K668" s="249"/>
      <c r="L668" s="249"/>
      <c r="M668" s="249"/>
      <c r="N668" s="249"/>
      <c r="O668" s="249"/>
      <c r="P668" s="186"/>
      <c r="Q668" s="186"/>
      <c r="R668" s="186"/>
      <c r="S668" s="186"/>
      <c r="T668" s="186"/>
      <c r="U668" s="186"/>
      <c r="V668" s="186"/>
      <c r="W668" s="186"/>
      <c r="X668" s="186"/>
    </row>
    <row r="669" spans="2:46" x14ac:dyDescent="0.25">
      <c r="B669" s="186"/>
      <c r="C669" s="187" t="str">
        <f>IF($C$1="ENG","glazing:","скління:")</f>
        <v>скління:</v>
      </c>
      <c r="D669" s="186"/>
      <c r="E669" s="198" t="str">
        <f>IF($C$1="ENG","Satin","Сатин")</f>
        <v>Сатин</v>
      </c>
      <c r="F669" s="189"/>
      <c r="G669" s="198" t="str">
        <f>IF($C$1="ENG","Satin","Сатин")</f>
        <v>Сатин</v>
      </c>
      <c r="H669" s="189"/>
      <c r="I669" s="198" t="str">
        <f>IF($C$1="ENG","Satin","Сатин")</f>
        <v>Сатин</v>
      </c>
      <c r="J669" s="189"/>
      <c r="K669" s="249"/>
      <c r="L669" s="249"/>
      <c r="M669" s="249"/>
      <c r="N669" s="249"/>
      <c r="O669" s="249"/>
      <c r="P669" s="186"/>
      <c r="Q669" s="186"/>
      <c r="R669" s="186"/>
      <c r="S669" s="186"/>
      <c r="T669" s="186"/>
      <c r="U669" s="186"/>
      <c r="V669" s="186"/>
      <c r="W669" s="186"/>
      <c r="X669" s="186"/>
    </row>
    <row r="670" spans="2:46" x14ac:dyDescent="0.25">
      <c r="D670" s="199"/>
      <c r="E670" s="197"/>
      <c r="F670" s="200"/>
      <c r="G670" s="197"/>
      <c r="H670" s="200"/>
      <c r="I670" s="197"/>
      <c r="J670" s="200"/>
      <c r="K670" s="200"/>
      <c r="L670" s="200"/>
      <c r="M670" s="200"/>
      <c r="N670" s="200"/>
      <c r="O670" s="200"/>
      <c r="P670" s="200"/>
      <c r="Q670" s="200"/>
      <c r="R670" s="200"/>
      <c r="S670" s="200"/>
      <c r="T670" s="200"/>
      <c r="U670" s="200"/>
      <c r="V670" s="200"/>
      <c r="W670" s="200"/>
      <c r="X670" s="186"/>
    </row>
    <row r="671" spans="2:46" s="190" customFormat="1" ht="15" customHeight="1" x14ac:dyDescent="0.25">
      <c r="B671" s="241" t="str">
        <f>IF($C$1="ENG","PRICE","ЦІНА")</f>
        <v>ЦІНА</v>
      </c>
      <c r="C671" s="242" t="str">
        <f>IF($C$1="ENG",IF($W$5=0.2,"with VAT","no VAT"),IF($W$5=0.2,"з ПДВ","без ПДВ"))</f>
        <v>з ПДВ</v>
      </c>
      <c r="D671" s="191"/>
      <c r="E671" s="243"/>
      <c r="F671" s="191"/>
      <c r="G671" s="243"/>
      <c r="H671" s="191"/>
      <c r="I671" s="243"/>
      <c r="J671" s="191"/>
      <c r="K671" s="194"/>
      <c r="L671" s="250"/>
      <c r="M671" s="194"/>
      <c r="N671" s="250"/>
      <c r="O671" s="194"/>
      <c r="P671" s="191"/>
      <c r="Q671" s="191"/>
      <c r="R671" s="191"/>
      <c r="S671" s="191"/>
      <c r="T671" s="191"/>
      <c r="U671" s="191"/>
      <c r="V671" s="191"/>
      <c r="W671" s="191"/>
      <c r="X671" s="191"/>
      <c r="AN671" s="192"/>
      <c r="AO671" s="192"/>
      <c r="AP671" s="192"/>
      <c r="AQ671" s="192"/>
      <c r="AR671" s="192"/>
      <c r="AS671" s="192"/>
      <c r="AT671" s="192"/>
    </row>
    <row r="672" spans="2:46" s="190" customFormat="1" ht="24.9" customHeight="1" x14ac:dyDescent="0.25">
      <c r="B672" s="274" t="str">
        <f>IF($C$1="ENG","Cover:","Покриття:")</f>
        <v>Покриття:</v>
      </c>
      <c r="C672" s="275" t="str">
        <f>IF($C$1="ENG","Verto-CELL","Verto-CELL")</f>
        <v>Verto-CELL</v>
      </c>
      <c r="D672" s="276"/>
      <c r="E672" s="277"/>
      <c r="F672" s="276"/>
      <c r="G672" s="277"/>
      <c r="H672" s="276"/>
      <c r="I672" s="277"/>
      <c r="J672" s="276"/>
      <c r="K672" s="278"/>
      <c r="L672" s="276"/>
      <c r="M672" s="278"/>
      <c r="N672" s="276"/>
      <c r="O672" s="278"/>
      <c r="P672" s="276"/>
      <c r="Q672" s="278"/>
      <c r="R672" s="276"/>
      <c r="S672" s="278"/>
      <c r="T672" s="276"/>
      <c r="U672" s="278"/>
      <c r="V672" s="276"/>
      <c r="W672" s="278"/>
      <c r="X672" s="191"/>
      <c r="AB672" s="195" t="str">
        <f>C672</f>
        <v>Verto-CELL</v>
      </c>
      <c r="AC672" s="272"/>
      <c r="AD672" s="272"/>
      <c r="AE672" s="272"/>
      <c r="AF672" s="272"/>
      <c r="AG672" s="272"/>
      <c r="AH672" s="272"/>
      <c r="AN672" s="192"/>
      <c r="AO672" s="192"/>
      <c r="AP672" s="192"/>
      <c r="AQ672" s="192"/>
      <c r="AR672" s="192"/>
      <c r="AS672" s="192"/>
      <c r="AT672" s="192"/>
    </row>
    <row r="673" spans="1:46" s="190" customFormat="1" ht="24.9" customHeight="1" x14ac:dyDescent="0.25">
      <c r="B673" s="273" t="str">
        <f>IF($C$1="ENG","glazing:","скління:")</f>
        <v>скління:</v>
      </c>
      <c r="C673" s="255" t="str">
        <f>IF($C$1="ENG","Satin","Сатин")</f>
        <v>Сатин</v>
      </c>
      <c r="D673" s="256">
        <f>IF(AC673="","",(1-$W$2)*(AC673/1.2))</f>
        <v>4433.3333333333339</v>
      </c>
      <c r="E673" s="257">
        <f>IF($W$5=0.2,D673*1.2,D673)/$W$4</f>
        <v>5320.0000000000009</v>
      </c>
      <c r="F673" s="256">
        <f>IF(AD673="","",(1-$W$2)*(AD673/1.2))</f>
        <v>6266.666666666667</v>
      </c>
      <c r="G673" s="257">
        <f>IF($W$5=0.2,F673*1.2,F673)/$W$4</f>
        <v>7520</v>
      </c>
      <c r="H673" s="256">
        <f>IF(AE673="","",(1-$W$2)*(AE673/1.2))</f>
        <v>6616.666666666667</v>
      </c>
      <c r="I673" s="257">
        <f>IF($W$5=0.2,H673*1.2,H673)/$W$4</f>
        <v>7940</v>
      </c>
      <c r="J673" s="256"/>
      <c r="K673" s="258"/>
      <c r="L673" s="256"/>
      <c r="M673" s="258"/>
      <c r="N673" s="256"/>
      <c r="O673" s="258"/>
      <c r="P673" s="256"/>
      <c r="Q673" s="258"/>
      <c r="R673" s="256"/>
      <c r="S673" s="258"/>
      <c r="T673" s="256"/>
      <c r="U673" s="258"/>
      <c r="V673" s="256"/>
      <c r="W673" s="258"/>
      <c r="X673" s="191"/>
      <c r="AB673" s="195" t="str">
        <f>C673</f>
        <v>Сатин</v>
      </c>
      <c r="AC673" s="219">
        <v>5320</v>
      </c>
      <c r="AD673" s="219">
        <v>7520</v>
      </c>
      <c r="AE673" s="219">
        <v>7940</v>
      </c>
      <c r="AF673" s="219"/>
      <c r="AG673" s="219"/>
      <c r="AH673" s="219"/>
      <c r="AN673" s="192"/>
      <c r="AO673" s="192"/>
      <c r="AP673" s="192"/>
      <c r="AQ673" s="192"/>
      <c r="AR673" s="192"/>
      <c r="AS673" s="192"/>
      <c r="AT673" s="192"/>
    </row>
    <row r="674" spans="1:46" s="190" customFormat="1" ht="24.9" customHeight="1" x14ac:dyDescent="0.25">
      <c r="B674" s="254"/>
      <c r="C674" s="255" t="str">
        <f>IF($C$1="ENG","Graphite / Bronze","Графіт / Бронза")</f>
        <v>Графіт / Бронза</v>
      </c>
      <c r="D674" s="256">
        <f>IF(AC674="","",(1-$W$2)*(AC674/1.2))</f>
        <v>5108.3333333333339</v>
      </c>
      <c r="E674" s="257">
        <f>IF($W$5=0.2,D674*1.2,D674)/$W$4</f>
        <v>6130.0000000000009</v>
      </c>
      <c r="F674" s="256">
        <f>IF(AD674="","",(1-$W$2)*(AD674/1.2))</f>
        <v>7150</v>
      </c>
      <c r="G674" s="257">
        <f>IF($W$5=0.2,F674*1.2,F674)/$W$4</f>
        <v>8580</v>
      </c>
      <c r="H674" s="256">
        <f>IF(AE674="","",(1-$W$2)*(AE674/1.2))</f>
        <v>7625</v>
      </c>
      <c r="I674" s="257">
        <f>IF($W$5=0.2,H674*1.2,H674)/$W$4</f>
        <v>9150</v>
      </c>
      <c r="J674" s="256"/>
      <c r="K674" s="258"/>
      <c r="L674" s="256"/>
      <c r="M674" s="258"/>
      <c r="N674" s="256"/>
      <c r="O674" s="258"/>
      <c r="P674" s="256"/>
      <c r="Q674" s="258"/>
      <c r="R674" s="256"/>
      <c r="S674" s="258"/>
      <c r="T674" s="256"/>
      <c r="U674" s="258"/>
      <c r="V674" s="256"/>
      <c r="W674" s="258"/>
      <c r="X674" s="191"/>
      <c r="AB674" s="195" t="str">
        <f>C674</f>
        <v>Графіт / Бронза</v>
      </c>
      <c r="AC674" s="219">
        <v>6130</v>
      </c>
      <c r="AD674" s="219">
        <v>8580</v>
      </c>
      <c r="AE674" s="219">
        <v>9150</v>
      </c>
      <c r="AF674" s="219"/>
      <c r="AG674" s="219"/>
      <c r="AH674" s="219"/>
      <c r="AN674" s="192"/>
      <c r="AO674" s="192"/>
      <c r="AP674" s="192"/>
      <c r="AQ674" s="192"/>
      <c r="AR674" s="192"/>
      <c r="AS674" s="192"/>
      <c r="AT674" s="192"/>
    </row>
    <row r="675" spans="1:46" s="190" customFormat="1" ht="24.9" customHeight="1" x14ac:dyDescent="0.25">
      <c r="B675" s="206"/>
      <c r="C675" s="207" t="str">
        <f>IF($C$1="ENG","Triplex mat / black","Триплекс мат/чорн")</f>
        <v>Триплекс мат/чорн</v>
      </c>
      <c r="D675" s="208">
        <f>IF(AC675="","",(1-$W$2)*(AC675/1.2))</f>
        <v>5466.666666666667</v>
      </c>
      <c r="E675" s="209">
        <f>IF($W$5=0.2,D675*1.2,D675)/$W$4</f>
        <v>6560</v>
      </c>
      <c r="F675" s="208">
        <f>IF(AD675="","",(1-$W$2)*(AD675/1.2))</f>
        <v>7508.3333333333339</v>
      </c>
      <c r="G675" s="209">
        <f>IF($W$5=0.2,F675*1.2,F675)/$W$4</f>
        <v>9010</v>
      </c>
      <c r="H675" s="208">
        <f>IF(AE675="","",(1-$W$2)*(AE675/1.2))</f>
        <v>8158.3333333333339</v>
      </c>
      <c r="I675" s="209">
        <f>IF($W$5=0.2,H675*1.2,H675)/$W$4</f>
        <v>9790</v>
      </c>
      <c r="J675" s="208"/>
      <c r="K675" s="210"/>
      <c r="L675" s="208"/>
      <c r="M675" s="210"/>
      <c r="N675" s="208"/>
      <c r="O675" s="210"/>
      <c r="P675" s="208"/>
      <c r="Q675" s="210"/>
      <c r="R675" s="208"/>
      <c r="S675" s="210"/>
      <c r="T675" s="208"/>
      <c r="U675" s="210"/>
      <c r="V675" s="208"/>
      <c r="W675" s="210"/>
      <c r="X675" s="191"/>
      <c r="AB675" s="195" t="str">
        <f>C675</f>
        <v>Триплекс мат/чорн</v>
      </c>
      <c r="AC675" s="219">
        <v>6560</v>
      </c>
      <c r="AD675" s="219">
        <v>9010</v>
      </c>
      <c r="AE675" s="219">
        <v>9790</v>
      </c>
      <c r="AF675" s="219"/>
      <c r="AG675" s="219"/>
      <c r="AH675" s="219"/>
      <c r="AN675" s="192"/>
      <c r="AO675" s="192"/>
      <c r="AP675" s="192"/>
      <c r="AQ675" s="192"/>
      <c r="AR675" s="192"/>
      <c r="AS675" s="192"/>
      <c r="AT675" s="192"/>
    </row>
    <row r="676" spans="1:46" x14ac:dyDescent="0.25">
      <c r="B676" s="187"/>
      <c r="C676" s="1"/>
      <c r="D676" s="186"/>
      <c r="E676" s="186"/>
      <c r="F676" s="186"/>
      <c r="G676" s="186"/>
      <c r="H676" s="186"/>
      <c r="I676" s="186"/>
      <c r="J676" s="186"/>
      <c r="K676" s="186"/>
      <c r="L676" s="186"/>
      <c r="M676" s="200"/>
      <c r="N676" s="186"/>
      <c r="O676" s="186"/>
      <c r="P676" s="186"/>
      <c r="Q676" s="186"/>
      <c r="R676" s="186"/>
      <c r="S676" s="186"/>
      <c r="T676" s="186"/>
      <c r="U676" s="186"/>
      <c r="V676" s="186"/>
      <c r="W676" s="186"/>
      <c r="X676" s="186"/>
    </row>
    <row r="677" spans="1:46" x14ac:dyDescent="0.25">
      <c r="B677" s="211" t="str">
        <f>IF($C$1="ENG","For additonal charge:","Послуги за додаткову плату:")</f>
        <v>Послуги за додаткову плату:</v>
      </c>
      <c r="C677" s="212"/>
      <c r="D677" s="213"/>
      <c r="E677" s="214" t="str">
        <f>CONCATENATE(B671," ",C671)</f>
        <v>ЦІНА з ПДВ</v>
      </c>
      <c r="F677" s="215"/>
      <c r="G677" s="215"/>
      <c r="H677" s="215"/>
      <c r="I677" s="215"/>
      <c r="J677" s="215"/>
      <c r="K677" s="215"/>
      <c r="L677" s="215"/>
      <c r="M677" s="215"/>
      <c r="N677" s="215"/>
      <c r="O677" s="215"/>
      <c r="P677" s="215"/>
      <c r="Q677" s="215"/>
      <c r="R677" s="215"/>
      <c r="S677" s="215"/>
      <c r="T677" s="215"/>
      <c r="U677" s="215"/>
      <c r="V677" s="215"/>
      <c r="W677" s="215"/>
      <c r="X677" s="186"/>
    </row>
    <row r="678" spans="1:46" x14ac:dyDescent="0.25">
      <c r="B678" s="187"/>
      <c r="C678" s="1"/>
      <c r="D678" s="186"/>
      <c r="E678" s="186"/>
      <c r="F678" s="186"/>
      <c r="G678" s="186"/>
      <c r="H678" s="186"/>
      <c r="I678" s="186"/>
      <c r="J678" s="186"/>
      <c r="K678" s="186"/>
      <c r="L678" s="186"/>
      <c r="M678" s="186"/>
      <c r="N678" s="186"/>
      <c r="O678" s="186"/>
      <c r="P678" s="186"/>
      <c r="Q678" s="186"/>
      <c r="R678" s="186"/>
      <c r="S678" s="186"/>
      <c r="T678" s="186"/>
      <c r="U678" s="186"/>
      <c r="V678" s="186"/>
      <c r="W678" s="186"/>
      <c r="X678" s="186"/>
    </row>
    <row r="679" spans="1:46" ht="15" customHeight="1" x14ac:dyDescent="0.25">
      <c r="B679" s="224"/>
      <c r="C679" s="223" t="str">
        <f>IF($C$1="ENG","door leaf with width 100","полотно розміром 100")</f>
        <v>полотно розміром 100</v>
      </c>
      <c r="D679" s="236">
        <f>IF(AC679="","",(1-$W$2)*(AC679/1.2))</f>
        <v>650</v>
      </c>
      <c r="E679" s="227">
        <f>IF($W$5=0.2,D679*1.2,D679)/$W$4</f>
        <v>780</v>
      </c>
      <c r="F679" s="191"/>
      <c r="G679" s="229"/>
      <c r="H679" s="224"/>
      <c r="I679" s="223" t="str">
        <f>IF($C$1="ENG","door lock Soft","замок Soft")</f>
        <v>замок Soft</v>
      </c>
      <c r="J679" s="238">
        <f>IF(AF679="","",(1-$W$2)*(AF679/1.2))</f>
        <v>525</v>
      </c>
      <c r="K679" s="227">
        <f>IF($W$5=0.2,J679*1.2,J679)/$W$4</f>
        <v>630</v>
      </c>
      <c r="L679" s="191"/>
      <c r="M679" s="229"/>
      <c r="N679" s="224"/>
      <c r="O679" s="223" t="str">
        <f>IF($C$1="ENG","cylinder incert","циліндр несиметричний")</f>
        <v>циліндр несиметричний</v>
      </c>
      <c r="P679" s="236">
        <f>IF(AI679="","",(1-$W$2)*(AI679/1.2))</f>
        <v>375</v>
      </c>
      <c r="Q679" s="227">
        <f>IF($W$5=0.2,P679*1.2,P679)/$W$4</f>
        <v>450</v>
      </c>
      <c r="R679" s="186"/>
      <c r="S679" s="186"/>
      <c r="T679" s="186"/>
      <c r="U679" s="186"/>
      <c r="V679" s="186"/>
      <c r="W679" s="186"/>
      <c r="X679" s="186"/>
      <c r="AC679" s="218">
        <v>780</v>
      </c>
      <c r="AF679" s="218">
        <v>630</v>
      </c>
      <c r="AI679" s="218">
        <v>450</v>
      </c>
    </row>
    <row r="680" spans="1:46" ht="15" customHeight="1" x14ac:dyDescent="0.25">
      <c r="B680" s="83"/>
      <c r="C680" s="162"/>
      <c r="D680" s="10"/>
      <c r="E680" s="10"/>
      <c r="F680" s="191"/>
      <c r="G680" s="230"/>
      <c r="H680" s="225"/>
      <c r="I680" s="222" t="str">
        <f>IF($C$1="ENG","door lock Soft black","замок Soft чорн.")</f>
        <v>замок Soft чорн.</v>
      </c>
      <c r="J680" s="239">
        <f>IF(AF680="","",(1-$W$2)*(AF680/1.2))</f>
        <v>650</v>
      </c>
      <c r="K680" s="228">
        <f>IF($W$5=0.2,J680*1.2,J680)/$W$4</f>
        <v>780</v>
      </c>
      <c r="L680" s="191"/>
      <c r="M680" s="230"/>
      <c r="N680" s="225"/>
      <c r="O680" s="222" t="str">
        <f>IF($C$1="ENG","door hindge Prestige (1 unit)","завіса Prestige (1 шт)")</f>
        <v>завіса Prestige (1 шт)</v>
      </c>
      <c r="P680" s="240">
        <f>IF(AI680="","",(1-$W$2)*(AI680/1.2))</f>
        <v>250</v>
      </c>
      <c r="Q680" s="228">
        <f>IF($W$5=0.2,P680*1.2,P680)/$W$4</f>
        <v>300</v>
      </c>
      <c r="R680" s="186"/>
      <c r="S680" s="186"/>
      <c r="T680" s="186"/>
      <c r="U680" s="186"/>
      <c r="V680" s="186"/>
      <c r="W680" s="186"/>
      <c r="X680" s="186"/>
      <c r="AF680" s="218">
        <v>780</v>
      </c>
      <c r="AI680" s="218">
        <v>300</v>
      </c>
    </row>
    <row r="681" spans="1:46" ht="15" customHeight="1" x14ac:dyDescent="0.25">
      <c r="B681" s="83"/>
      <c r="C681" s="162"/>
      <c r="D681" s="10"/>
      <c r="E681" s="10"/>
      <c r="F681" s="191"/>
      <c r="G681" s="230"/>
      <c r="H681" s="225"/>
      <c r="I681" s="222" t="str">
        <f>IF($C$1="ENG","door lock Magnet","замок Magnet")</f>
        <v>замок Magnet</v>
      </c>
      <c r="J681" s="239">
        <f>IF(AF681="","",(1-$W$2)*(AF681/1.2))</f>
        <v>766.66666666666674</v>
      </c>
      <c r="K681" s="228">
        <f>IF($W$5=0.2,J681*1.2,J681)/$W$4</f>
        <v>920.00000000000011</v>
      </c>
      <c r="L681" s="191"/>
      <c r="M681" s="230"/>
      <c r="N681" s="225"/>
      <c r="O681" s="222" t="str">
        <f>IF($C$1="ENG","door hinge caps (1 set)","накладка на завіси (1 к-т)")</f>
        <v>накладка на завіси (1 к-т)</v>
      </c>
      <c r="P681" s="240">
        <f>IF(AI681="","",(1-$W$2)*(AI681/1.2))</f>
        <v>75</v>
      </c>
      <c r="Q681" s="228">
        <f>IF($W$5=0.2,P681*1.2,P681)/$W$4</f>
        <v>90</v>
      </c>
      <c r="R681" s="186"/>
      <c r="S681" s="186"/>
      <c r="T681" s="186"/>
      <c r="U681" s="186"/>
      <c r="V681" s="186"/>
      <c r="W681" s="186"/>
      <c r="X681" s="186"/>
      <c r="AF681" s="218">
        <v>920</v>
      </c>
      <c r="AI681" s="218">
        <v>90</v>
      </c>
    </row>
    <row r="682" spans="1:46" s="8" customFormat="1" ht="15" customHeight="1" x14ac:dyDescent="0.25">
      <c r="B682" s="83"/>
      <c r="C682" s="162"/>
      <c r="D682" s="10"/>
      <c r="E682" s="10"/>
      <c r="F682" s="184"/>
      <c r="G682" s="231"/>
      <c r="H682" s="226"/>
      <c r="I682" s="222" t="str">
        <f>IF($C$1="ENG","door lock Magnet black","замок Magnet чорн.")</f>
        <v>замок Magnet чорн.</v>
      </c>
      <c r="J682" s="239">
        <f>IF(AF682="","",(1-$W$2)*(AF682/1.2))</f>
        <v>958.33333333333337</v>
      </c>
      <c r="K682" s="228">
        <f>IF($W$5=0.2,J682*1.2,J682)/$W$4</f>
        <v>1150</v>
      </c>
      <c r="L682" s="220"/>
      <c r="M682" s="233"/>
      <c r="N682" s="226"/>
      <c r="O682" s="222" t="str">
        <f>IF($C$1="ENG","door handle","дверна ручка")</f>
        <v>дверна ручка</v>
      </c>
      <c r="P682" s="237">
        <f>IF(AI682="","",(1-$W$2)*(AI682/1.2))</f>
        <v>0</v>
      </c>
      <c r="Q682" s="235" t="str">
        <f>IF($C$1="ENG","see Handles Price","див. Таблицю Ручки")</f>
        <v>див. Таблицю Ручки</v>
      </c>
      <c r="AC682" s="1"/>
      <c r="AF682" s="218">
        <v>1150</v>
      </c>
      <c r="AI682" s="218">
        <v>0</v>
      </c>
      <c r="AN682" s="123"/>
      <c r="AO682" s="123"/>
      <c r="AP682" s="123"/>
      <c r="AQ682" s="123"/>
      <c r="AR682" s="123"/>
      <c r="AS682" s="123"/>
      <c r="AT682" s="123"/>
    </row>
    <row r="683" spans="1:46" ht="15" customHeight="1" x14ac:dyDescent="0.25">
      <c r="B683" s="83"/>
      <c r="C683" s="162"/>
      <c r="D683" s="10"/>
      <c r="E683" s="10"/>
      <c r="F683" s="221"/>
      <c r="G683" s="10"/>
      <c r="H683" s="10"/>
      <c r="I683" s="8"/>
      <c r="J683" s="8"/>
      <c r="K683" s="8"/>
      <c r="L683" s="190"/>
      <c r="M683" s="230"/>
      <c r="N683" s="225"/>
      <c r="O683" s="222" t="str">
        <f>IF($C$1="ENG","perforated chipboard (Model 1,3)","ДСП трубчасте (Модель 1,3)")</f>
        <v>ДСП трубчасте (Модель 1,3)</v>
      </c>
      <c r="P683" s="240">
        <f>IF(AI683="","",(1-$W$2)*(AI683/1.2))</f>
        <v>891.66666666666674</v>
      </c>
      <c r="Q683" s="228">
        <f>IF($W$5=0.2,P683*1.2,P683)/$W$4</f>
        <v>1070</v>
      </c>
      <c r="AI683" s="218">
        <v>1070</v>
      </c>
      <c r="AN683" s="1"/>
    </row>
    <row r="684" spans="1:46" x14ac:dyDescent="0.25">
      <c r="C684" s="110"/>
      <c r="D684" s="21"/>
      <c r="E684" s="21"/>
      <c r="F684" s="21"/>
      <c r="G684" s="21"/>
      <c r="H684" s="5"/>
    </row>
    <row r="685" spans="1:46" x14ac:dyDescent="0.25">
      <c r="A685" s="8"/>
      <c r="B685" s="83"/>
      <c r="C685" s="162"/>
      <c r="D685" s="10"/>
      <c r="E685" s="10"/>
      <c r="F685" s="10"/>
      <c r="G685" s="10"/>
      <c r="H685" s="10"/>
      <c r="I685" s="8"/>
      <c r="J685" s="8"/>
      <c r="K685" s="8"/>
      <c r="L685" s="8"/>
      <c r="M685" s="11"/>
      <c r="P685" s="8"/>
      <c r="Q685" s="11"/>
    </row>
    <row r="686" spans="1:46" x14ac:dyDescent="0.25">
      <c r="A686" s="8"/>
      <c r="B686" s="83"/>
      <c r="C686" s="162"/>
      <c r="D686" s="10"/>
      <c r="E686" s="10"/>
      <c r="F686" s="10"/>
      <c r="G686" s="10"/>
      <c r="H686" s="10"/>
      <c r="I686" s="8"/>
      <c r="J686" s="8"/>
      <c r="K686" s="8"/>
      <c r="L686" s="8"/>
      <c r="M686" s="11"/>
      <c r="P686" s="8"/>
      <c r="Q686" s="11"/>
    </row>
    <row r="687" spans="1:46" x14ac:dyDescent="0.25">
      <c r="C687" s="110"/>
      <c r="D687" s="21"/>
      <c r="E687" s="38"/>
      <c r="F687" s="21"/>
      <c r="G687" s="38"/>
      <c r="H687" s="10"/>
      <c r="I687" s="89"/>
      <c r="J687" s="33"/>
      <c r="K687" s="89"/>
      <c r="L687" s="8"/>
      <c r="P687" s="8"/>
    </row>
    <row r="688" spans="1:46" s="8" customFormat="1" ht="24.9" customHeight="1" x14ac:dyDescent="0.25">
      <c r="B688" s="246" t="str">
        <f>TITLE!$C$30</f>
        <v>Полотна скляні: LINE</v>
      </c>
      <c r="C688" s="244"/>
      <c r="D688" s="245"/>
      <c r="E688" s="245"/>
      <c r="F688" s="216"/>
      <c r="G688" s="216"/>
      <c r="H688" s="216"/>
      <c r="I688" s="217"/>
      <c r="J688" s="217"/>
      <c r="K688" s="217"/>
      <c r="L688" s="217"/>
      <c r="M688" s="217"/>
      <c r="N688" s="217"/>
      <c r="O688" s="217"/>
      <c r="P688" s="217"/>
      <c r="Q688" s="217"/>
      <c r="R688" s="217"/>
      <c r="S688" s="217"/>
      <c r="T688" s="217"/>
      <c r="U688" s="217"/>
      <c r="V688" s="217"/>
      <c r="W688" s="217"/>
      <c r="X688" s="185"/>
      <c r="AN688" s="123"/>
      <c r="AO688" s="123"/>
      <c r="AP688" s="123"/>
      <c r="AQ688" s="123"/>
      <c r="AR688" s="123"/>
      <c r="AS688" s="123"/>
      <c r="AT688" s="123"/>
    </row>
    <row r="689" spans="2:46" s="8" customFormat="1" x14ac:dyDescent="0.25">
      <c r="B689" s="83"/>
      <c r="C689" s="162"/>
      <c r="D689" s="247"/>
      <c r="E689" s="247"/>
      <c r="F689" s="247"/>
      <c r="G689" s="247"/>
      <c r="H689" s="10"/>
      <c r="I689" s="264"/>
      <c r="J689" s="10"/>
      <c r="K689" s="264"/>
      <c r="L689" s="10"/>
      <c r="M689" s="264"/>
      <c r="N689" s="10"/>
      <c r="O689" s="264"/>
      <c r="P689" s="10"/>
      <c r="Q689" s="264"/>
      <c r="T689" s="90"/>
      <c r="U689" s="90"/>
      <c r="V689" s="90"/>
      <c r="W689" s="90"/>
      <c r="AN689" s="123"/>
      <c r="AO689" s="123"/>
      <c r="AP689" s="123"/>
      <c r="AQ689" s="123"/>
      <c r="AR689" s="123"/>
      <c r="AS689" s="123"/>
      <c r="AT689" s="123"/>
    </row>
    <row r="690" spans="2:46" x14ac:dyDescent="0.25">
      <c r="B690" s="186"/>
      <c r="C690" s="193" t="str">
        <f>IF($C$1="ENG","model:","модель:")</f>
        <v>модель:</v>
      </c>
      <c r="D690" s="186"/>
      <c r="E690" s="196">
        <v>1</v>
      </c>
      <c r="F690" s="188"/>
      <c r="G690" s="196">
        <v>2</v>
      </c>
      <c r="H690" s="188"/>
      <c r="I690" s="196">
        <v>3</v>
      </c>
      <c r="J690" s="188"/>
      <c r="K690" s="196">
        <v>4</v>
      </c>
      <c r="L690" s="188"/>
      <c r="M690" s="196">
        <v>5</v>
      </c>
      <c r="N690" s="188"/>
      <c r="O690" s="196">
        <v>6</v>
      </c>
      <c r="P690" s="188"/>
      <c r="Q690" s="196">
        <v>7</v>
      </c>
      <c r="R690" s="186"/>
      <c r="S690" s="186"/>
      <c r="T690" s="186"/>
      <c r="U690" s="186"/>
      <c r="V690" s="186"/>
      <c r="W690" s="186"/>
      <c r="X690" s="186"/>
    </row>
    <row r="691" spans="2:46" x14ac:dyDescent="0.25">
      <c r="B691" s="186"/>
      <c r="C691" s="187"/>
      <c r="D691" s="186"/>
      <c r="E691" s="197"/>
      <c r="F691" s="186"/>
      <c r="G691" s="197"/>
      <c r="H691" s="186"/>
      <c r="I691" s="197"/>
      <c r="J691" s="186"/>
      <c r="K691" s="197"/>
      <c r="L691" s="186"/>
      <c r="M691" s="197"/>
      <c r="N691" s="186"/>
      <c r="O691" s="197"/>
      <c r="P691" s="186"/>
      <c r="Q691" s="197"/>
      <c r="R691" s="186"/>
      <c r="S691" s="186"/>
      <c r="T691" s="186"/>
      <c r="U691" s="186"/>
      <c r="V691" s="186"/>
      <c r="W691" s="186"/>
      <c r="X691" s="186"/>
    </row>
    <row r="692" spans="2:46" x14ac:dyDescent="0.25">
      <c r="B692" s="186"/>
      <c r="C692" s="187"/>
      <c r="D692" s="186"/>
      <c r="E692" s="197"/>
      <c r="F692" s="186"/>
      <c r="G692" s="197"/>
      <c r="H692" s="186"/>
      <c r="I692" s="197"/>
      <c r="J692" s="186"/>
      <c r="K692" s="197"/>
      <c r="L692" s="186"/>
      <c r="M692" s="197"/>
      <c r="N692" s="186"/>
      <c r="O692" s="197"/>
      <c r="P692" s="186"/>
      <c r="Q692" s="197"/>
      <c r="R692" s="186"/>
      <c r="S692" s="186"/>
      <c r="T692" s="186"/>
      <c r="U692" s="186"/>
      <c r="V692" s="186"/>
      <c r="W692" s="186"/>
      <c r="X692" s="186"/>
    </row>
    <row r="693" spans="2:46" x14ac:dyDescent="0.25">
      <c r="B693" s="186"/>
      <c r="C693" s="187"/>
      <c r="D693" s="186"/>
      <c r="E693" s="197"/>
      <c r="F693" s="186"/>
      <c r="G693" s="197"/>
      <c r="H693" s="186"/>
      <c r="I693" s="197"/>
      <c r="J693" s="186"/>
      <c r="K693" s="197"/>
      <c r="L693" s="186"/>
      <c r="M693" s="197"/>
      <c r="N693" s="186"/>
      <c r="O693" s="197"/>
      <c r="P693" s="186"/>
      <c r="Q693" s="197"/>
      <c r="R693" s="186"/>
      <c r="S693" s="186"/>
      <c r="T693" s="186"/>
      <c r="U693" s="186"/>
      <c r="V693" s="186"/>
      <c r="W693" s="186"/>
      <c r="X693" s="186"/>
    </row>
    <row r="694" spans="2:46" x14ac:dyDescent="0.25">
      <c r="B694" s="186"/>
      <c r="C694" s="187"/>
      <c r="D694" s="186"/>
      <c r="E694" s="197"/>
      <c r="F694" s="186"/>
      <c r="G694" s="197"/>
      <c r="H694" s="186"/>
      <c r="I694" s="197"/>
      <c r="J694" s="186"/>
      <c r="K694" s="197"/>
      <c r="L694" s="186"/>
      <c r="M694" s="197"/>
      <c r="N694" s="186"/>
      <c r="O694" s="197"/>
      <c r="P694" s="186"/>
      <c r="Q694" s="197"/>
      <c r="R694" s="186"/>
      <c r="S694" s="186"/>
      <c r="T694" s="186"/>
      <c r="U694" s="186"/>
      <c r="V694" s="186"/>
      <c r="W694" s="186"/>
      <c r="X694" s="186"/>
    </row>
    <row r="695" spans="2:46" x14ac:dyDescent="0.25">
      <c r="B695" s="186"/>
      <c r="C695" s="187"/>
      <c r="D695" s="186"/>
      <c r="E695" s="197"/>
      <c r="F695" s="186"/>
      <c r="G695" s="197"/>
      <c r="H695" s="186"/>
      <c r="I695" s="197"/>
      <c r="J695" s="186"/>
      <c r="K695" s="197"/>
      <c r="L695" s="186"/>
      <c r="M695" s="197"/>
      <c r="N695" s="186"/>
      <c r="O695" s="197"/>
      <c r="P695" s="186"/>
      <c r="Q695" s="197"/>
      <c r="R695" s="186"/>
      <c r="S695" s="186"/>
      <c r="T695" s="186"/>
      <c r="U695" s="186"/>
      <c r="V695" s="186"/>
      <c r="W695" s="186"/>
      <c r="X695" s="186"/>
    </row>
    <row r="696" spans="2:46" x14ac:dyDescent="0.25">
      <c r="B696" s="186"/>
      <c r="C696" s="187"/>
      <c r="D696" s="186"/>
      <c r="E696" s="197"/>
      <c r="F696" s="186"/>
      <c r="G696" s="197"/>
      <c r="H696" s="186"/>
      <c r="I696" s="197"/>
      <c r="J696" s="186"/>
      <c r="K696" s="197"/>
      <c r="L696" s="186"/>
      <c r="M696" s="197"/>
      <c r="N696" s="186"/>
      <c r="O696" s="197"/>
      <c r="P696" s="186"/>
      <c r="Q696" s="197"/>
      <c r="R696" s="186"/>
      <c r="S696" s="186"/>
      <c r="T696" s="186"/>
      <c r="U696" s="186"/>
      <c r="V696" s="186"/>
      <c r="W696" s="186"/>
      <c r="X696" s="186"/>
    </row>
    <row r="697" spans="2:46" x14ac:dyDescent="0.25">
      <c r="B697" s="186"/>
      <c r="C697" s="187"/>
      <c r="D697" s="186"/>
      <c r="E697" s="197"/>
      <c r="F697" s="186"/>
      <c r="G697" s="197"/>
      <c r="H697" s="186"/>
      <c r="I697" s="197"/>
      <c r="J697" s="186"/>
      <c r="K697" s="197"/>
      <c r="L697" s="186"/>
      <c r="M697" s="197"/>
      <c r="N697" s="186"/>
      <c r="O697" s="197"/>
      <c r="P697" s="186"/>
      <c r="Q697" s="197"/>
      <c r="R697" s="186"/>
      <c r="S697" s="186"/>
      <c r="T697" s="186"/>
      <c r="U697" s="186"/>
      <c r="V697" s="186"/>
      <c r="W697" s="186"/>
      <c r="X697" s="186"/>
    </row>
    <row r="698" spans="2:46" x14ac:dyDescent="0.25">
      <c r="B698" s="186"/>
      <c r="C698" s="1"/>
      <c r="D698" s="186"/>
      <c r="E698" s="197"/>
      <c r="F698" s="186"/>
      <c r="G698" s="197"/>
      <c r="H698" s="186"/>
      <c r="I698" s="197"/>
      <c r="J698" s="186"/>
      <c r="K698" s="197"/>
      <c r="L698" s="186"/>
      <c r="M698" s="197"/>
      <c r="N698" s="186"/>
      <c r="O698" s="197"/>
      <c r="P698" s="186"/>
      <c r="Q698" s="197"/>
      <c r="R698" s="186"/>
      <c r="S698" s="186"/>
      <c r="T698" s="186"/>
      <c r="U698" s="186"/>
      <c r="V698" s="186"/>
      <c r="W698" s="186"/>
      <c r="X698" s="186"/>
    </row>
    <row r="699" spans="2:46" x14ac:dyDescent="0.25">
      <c r="B699" s="186"/>
      <c r="C699" s="187" t="str">
        <f>IF($C$1="ENG","filling:","заповнення:")</f>
        <v>заповнення:</v>
      </c>
      <c r="D699" s="186"/>
      <c r="E699" s="198" t="str">
        <f>IF($C$1="ENG","honeycomb","сотове заповн.")</f>
        <v>сотове заповн.</v>
      </c>
      <c r="F699" s="189"/>
      <c r="G699" s="198" t="str">
        <f>IF($C$1="ENG","honeycomb","сотове заповн.")</f>
        <v>сотове заповн.</v>
      </c>
      <c r="H699" s="189"/>
      <c r="I699" s="198" t="str">
        <f>IF($C$1="ENG","honeycomb","сотове заповн.")</f>
        <v>сотове заповн.</v>
      </c>
      <c r="J699" s="189"/>
      <c r="K699" s="198" t="str">
        <f>IF($C$1="ENG","honeycomb","сотове заповн.")</f>
        <v>сотове заповн.</v>
      </c>
      <c r="L699" s="189"/>
      <c r="M699" s="198" t="str">
        <f>IF($C$1="ENG","honeycomb","сотове заповн.")</f>
        <v>сотове заповн.</v>
      </c>
      <c r="N699" s="189"/>
      <c r="O699" s="198" t="str">
        <f>IF($C$1="ENG","honeycomb","сотове заповн.")</f>
        <v>сотове заповн.</v>
      </c>
      <c r="P699" s="189"/>
      <c r="Q699" s="198" t="str">
        <f>IF($C$1="ENG","honeycomb","сотове заповн.")</f>
        <v>сотове заповн.</v>
      </c>
      <c r="R699" s="186"/>
      <c r="S699" s="186"/>
      <c r="T699" s="186"/>
      <c r="U699" s="186"/>
      <c r="V699" s="186"/>
      <c r="W699" s="186"/>
      <c r="X699" s="186"/>
    </row>
    <row r="700" spans="2:46" x14ac:dyDescent="0.25">
      <c r="B700" s="186"/>
      <c r="C700" s="187" t="str">
        <f>IF($C$1="ENG","glazing:","скління:")</f>
        <v>скління:</v>
      </c>
      <c r="D700" s="186"/>
      <c r="E700" s="198" t="str">
        <f>IF($C$1="ENG","Satin","Сатин")</f>
        <v>Сатин</v>
      </c>
      <c r="F700" s="189"/>
      <c r="G700" s="198" t="str">
        <f>IF($C$1="ENG","Satin+drawing","Сатин+малюнок")</f>
        <v>Сатин+малюнок</v>
      </c>
      <c r="H700" s="189"/>
      <c r="I700" s="198" t="str">
        <f>IF($C$1="ENG","Satin+drawing","Сатин+малюнок")</f>
        <v>Сатин+малюнок</v>
      </c>
      <c r="J700" s="189"/>
      <c r="K700" s="198" t="str">
        <f>IF($C$1="ENG","Satin+drawing","Сатин+малюнок")</f>
        <v>Сатин+малюнок</v>
      </c>
      <c r="L700" s="189"/>
      <c r="M700" s="198" t="str">
        <f>IF($C$1="ENG","Satin+drawing","Сатин+малюнок")</f>
        <v>Сатин+малюнок</v>
      </c>
      <c r="N700" s="189"/>
      <c r="O700" s="198" t="str">
        <f>IF($C$1="ENG","Satin+drawing","Сатин+малюнок")</f>
        <v>Сатин+малюнок</v>
      </c>
      <c r="P700" s="189"/>
      <c r="Q700" s="198" t="str">
        <f>IF($C$1="ENG","Satin+drawing","Сатин+малюнок")</f>
        <v>Сатин+малюнок</v>
      </c>
      <c r="R700" s="186"/>
      <c r="S700" s="186"/>
      <c r="T700" s="186"/>
      <c r="U700" s="186"/>
      <c r="V700" s="186"/>
      <c r="W700" s="186"/>
      <c r="X700" s="186"/>
    </row>
    <row r="701" spans="2:46" x14ac:dyDescent="0.25">
      <c r="D701" s="199"/>
      <c r="E701" s="197"/>
      <c r="F701" s="200"/>
      <c r="G701" s="197"/>
      <c r="H701" s="200"/>
      <c r="I701" s="197"/>
      <c r="J701" s="200"/>
      <c r="K701" s="197"/>
      <c r="L701" s="200"/>
      <c r="M701" s="197"/>
      <c r="N701" s="200"/>
      <c r="O701" s="197"/>
      <c r="P701" s="200"/>
      <c r="Q701" s="197"/>
      <c r="R701" s="200"/>
      <c r="S701" s="200"/>
      <c r="T701" s="200"/>
      <c r="U701" s="200"/>
      <c r="V701" s="200"/>
      <c r="W701" s="200"/>
      <c r="X701" s="186"/>
      <c r="AK701" s="1">
        <v>1.1000000000000001</v>
      </c>
    </row>
    <row r="702" spans="2:46" s="190" customFormat="1" ht="15" customHeight="1" x14ac:dyDescent="0.25">
      <c r="B702" s="241" t="str">
        <f>IF($C$1="ENG","PRICE","ЦІНА")</f>
        <v>ЦІНА</v>
      </c>
      <c r="C702" s="242" t="str">
        <f>IF($C$1="ENG",IF($W$5=0.2,"with VAT","no VAT"),IF($W$5=0.2,"з ПДВ","без ПДВ"))</f>
        <v>з ПДВ</v>
      </c>
      <c r="D702" s="191"/>
      <c r="E702" s="243"/>
      <c r="F702" s="191"/>
      <c r="G702" s="243"/>
      <c r="H702" s="191"/>
      <c r="I702" s="243"/>
      <c r="J702" s="191"/>
      <c r="K702" s="243"/>
      <c r="L702" s="191"/>
      <c r="M702" s="243"/>
      <c r="N702" s="191"/>
      <c r="O702" s="243"/>
      <c r="P702" s="191"/>
      <c r="Q702" s="243"/>
      <c r="R702" s="191"/>
      <c r="S702" s="191"/>
      <c r="T702" s="191"/>
      <c r="U702" s="191"/>
      <c r="V702" s="191"/>
      <c r="W702" s="191"/>
      <c r="X702" s="191"/>
      <c r="AN702" s="192"/>
      <c r="AO702" s="192"/>
      <c r="AP702" s="192"/>
      <c r="AQ702" s="192"/>
      <c r="AR702" s="192"/>
      <c r="AS702" s="192"/>
      <c r="AT702" s="192"/>
    </row>
    <row r="703" spans="2:46" s="190" customFormat="1" ht="24.9" customHeight="1" x14ac:dyDescent="0.25">
      <c r="B703" s="201" t="str">
        <f>IF($C$1="ENG","Cover:","Покриття:")</f>
        <v>Покриття:</v>
      </c>
      <c r="C703" s="202" t="str">
        <f>IF($C$1="ENG","Verto-CELL","Verto-CELL")</f>
        <v>Verto-CELL</v>
      </c>
      <c r="D703" s="203">
        <f>IF(AC703="","",(1-$W$2)*(AC703/1.2))</f>
        <v>6641.666666666667</v>
      </c>
      <c r="E703" s="204">
        <f>IF($W$5=0.2,D703*1.2,D703)/$W$4</f>
        <v>7970</v>
      </c>
      <c r="F703" s="203">
        <f>IF(AD703="","",(1-$W$2)*(AD703/1.2))</f>
        <v>7366.666666666667</v>
      </c>
      <c r="G703" s="204">
        <f>IF($W$5=0.2,F703*1.2,F703)/$W$4</f>
        <v>8840</v>
      </c>
      <c r="H703" s="203">
        <f>IF(AE703="","",(1-$W$2)*(AE703/1.2))</f>
        <v>7366.666666666667</v>
      </c>
      <c r="I703" s="204">
        <f>IF($W$5=0.2,H703*1.2,H703)/$W$4</f>
        <v>8840</v>
      </c>
      <c r="J703" s="203">
        <f>IF(AF703="","",(1-$W$2)*(AF703/1.2))</f>
        <v>7366.666666666667</v>
      </c>
      <c r="K703" s="204">
        <f>IF($W$5=0.2,J703*1.2,J703)/$W$4</f>
        <v>8840</v>
      </c>
      <c r="L703" s="203">
        <f>IF(AG703="","",(1-$W$2)*(AG703/1.2))</f>
        <v>7366.666666666667</v>
      </c>
      <c r="M703" s="204">
        <f>IF($W$5=0.2,L703*1.2,L703)/$W$4</f>
        <v>8840</v>
      </c>
      <c r="N703" s="203">
        <f>IF(AH703="","",(1-$W$2)*(AH703/1.2))</f>
        <v>7366.666666666667</v>
      </c>
      <c r="O703" s="204">
        <f>IF($W$5=0.2,N703*1.2,N703)/$W$4</f>
        <v>8840</v>
      </c>
      <c r="P703" s="203">
        <f>IF(AI703="","",(1-$W$2)*(AI703/1.2))</f>
        <v>7366.666666666667</v>
      </c>
      <c r="Q703" s="204">
        <f>IF($W$5=0.2,P703*1.2,P703)/$W$4</f>
        <v>8840</v>
      </c>
      <c r="R703" s="203"/>
      <c r="S703" s="205"/>
      <c r="T703" s="203"/>
      <c r="U703" s="205"/>
      <c r="V703" s="203"/>
      <c r="W703" s="205"/>
      <c r="X703" s="191"/>
      <c r="AB703" s="195" t="str">
        <f>C703</f>
        <v>Verto-CELL</v>
      </c>
      <c r="AC703" s="219">
        <v>7970</v>
      </c>
      <c r="AD703" s="219">
        <v>8840</v>
      </c>
      <c r="AE703" s="219">
        <v>8840</v>
      </c>
      <c r="AF703" s="219">
        <v>8840</v>
      </c>
      <c r="AG703" s="219">
        <v>8840</v>
      </c>
      <c r="AH703" s="219">
        <v>8840</v>
      </c>
      <c r="AI703" s="219">
        <v>8840</v>
      </c>
      <c r="AJ703" s="1"/>
      <c r="AK703" s="1"/>
      <c r="AL703" s="1"/>
      <c r="AM703" s="1"/>
      <c r="AN703" s="1"/>
      <c r="AO703" s="1"/>
      <c r="AP703" s="1"/>
      <c r="AQ703" s="1"/>
      <c r="AR703" s="192"/>
      <c r="AS703" s="192"/>
      <c r="AT703" s="192"/>
    </row>
    <row r="704" spans="2:46" s="190" customFormat="1" ht="24.9" customHeight="1" x14ac:dyDescent="0.25">
      <c r="B704" s="254"/>
      <c r="C704" s="255" t="str">
        <f>IF($C$1="ENG","RESIST","RESIST")</f>
        <v>RESIST</v>
      </c>
      <c r="D704" s="256">
        <f>IF(AC704="","",(1-$W$2)*(AC704/1.2))</f>
        <v>7166.666666666667</v>
      </c>
      <c r="E704" s="257">
        <f>IF($W$5=0.2,D704*1.2,D704)/$W$4</f>
        <v>8600</v>
      </c>
      <c r="F704" s="256">
        <f>IF(AD704="","",(1-$W$2)*(AD704/1.2))</f>
        <v>7875</v>
      </c>
      <c r="G704" s="257">
        <f>IF($W$5=0.2,F704*1.2,F704)/$W$4</f>
        <v>9450</v>
      </c>
      <c r="H704" s="256">
        <f>IF(AE704="","",(1-$W$2)*(AE704/1.2))</f>
        <v>7875</v>
      </c>
      <c r="I704" s="257">
        <f>IF($W$5=0.2,H704*1.2,H704)/$W$4</f>
        <v>9450</v>
      </c>
      <c r="J704" s="256">
        <f>IF(AF704="","",(1-$W$2)*(AF704/1.2))</f>
        <v>7875</v>
      </c>
      <c r="K704" s="257">
        <f>IF($W$5=0.2,J704*1.2,J704)/$W$4</f>
        <v>9450</v>
      </c>
      <c r="L704" s="256">
        <f>IF(AG704="","",(1-$W$2)*(AG704/1.2))</f>
        <v>7875</v>
      </c>
      <c r="M704" s="257">
        <f>IF($W$5=0.2,L704*1.2,L704)/$W$4</f>
        <v>9450</v>
      </c>
      <c r="N704" s="256">
        <f>IF(AH704="","",(1-$W$2)*(AH704/1.2))</f>
        <v>7875</v>
      </c>
      <c r="O704" s="257">
        <f>IF($W$5=0.2,N704*1.2,N704)/$W$4</f>
        <v>9450</v>
      </c>
      <c r="P704" s="256">
        <f>IF(AI704="","",(1-$W$2)*(AI704/1.2))</f>
        <v>7875</v>
      </c>
      <c r="Q704" s="257">
        <f>IF($W$5=0.2,P704*1.2,P704)/$W$4</f>
        <v>9450</v>
      </c>
      <c r="R704" s="256"/>
      <c r="S704" s="258"/>
      <c r="T704" s="256"/>
      <c r="U704" s="258"/>
      <c r="V704" s="256"/>
      <c r="W704" s="258"/>
      <c r="X704" s="191"/>
      <c r="AB704" s="195" t="str">
        <f>C704</f>
        <v>RESIST</v>
      </c>
      <c r="AC704" s="219">
        <v>8600</v>
      </c>
      <c r="AD704" s="219">
        <v>9450</v>
      </c>
      <c r="AE704" s="219">
        <v>9450</v>
      </c>
      <c r="AF704" s="219">
        <v>9450</v>
      </c>
      <c r="AG704" s="219">
        <v>9450</v>
      </c>
      <c r="AH704" s="219">
        <v>9450</v>
      </c>
      <c r="AI704" s="219">
        <v>9450</v>
      </c>
      <c r="AJ704" s="1"/>
      <c r="AK704" s="1"/>
      <c r="AL704" s="1"/>
      <c r="AM704" s="1"/>
      <c r="AN704" s="1"/>
      <c r="AO704" s="1"/>
      <c r="AP704" s="1"/>
      <c r="AQ704" s="1"/>
      <c r="AR704" s="192"/>
      <c r="AS704" s="192"/>
      <c r="AT704" s="192"/>
    </row>
    <row r="705" spans="2:46" s="190" customFormat="1" ht="24.9" customHeight="1" x14ac:dyDescent="0.25">
      <c r="B705" s="254"/>
      <c r="C705" s="255" t="str">
        <f>IF($C$1="ENG","Verto LINE-3D","Verto LINE-3D")</f>
        <v>Verto LINE-3D</v>
      </c>
      <c r="D705" s="256">
        <f>IF(AC705="","",(1-$W$2)*(AC705/1.2))</f>
        <v>7483.3333333333339</v>
      </c>
      <c r="E705" s="257">
        <f>IF($W$5=0.2,D705*1.2,D705)/$W$4</f>
        <v>8980</v>
      </c>
      <c r="F705" s="256">
        <f>IF(AD705="","",(1-$W$2)*(AD705/1.2))</f>
        <v>8225</v>
      </c>
      <c r="G705" s="257">
        <f>IF($W$5=0.2,F705*1.2,F705)/$W$4</f>
        <v>9870</v>
      </c>
      <c r="H705" s="256">
        <f>IF(AE705="","",(1-$W$2)*(AE705/1.2))</f>
        <v>8225</v>
      </c>
      <c r="I705" s="257">
        <f>IF($W$5=0.2,H705*1.2,H705)/$W$4</f>
        <v>9870</v>
      </c>
      <c r="J705" s="256">
        <f>IF(AF705="","",(1-$W$2)*(AF705/1.2))</f>
        <v>8225</v>
      </c>
      <c r="K705" s="257">
        <f>IF($W$5=0.2,J705*1.2,J705)/$W$4</f>
        <v>9870</v>
      </c>
      <c r="L705" s="256">
        <f>IF(AG705="","",(1-$W$2)*(AG705/1.2))</f>
        <v>8225</v>
      </c>
      <c r="M705" s="257">
        <f>IF($W$5=0.2,L705*1.2,L705)/$W$4</f>
        <v>9870</v>
      </c>
      <c r="N705" s="256">
        <f>IF(AH705="","",(1-$W$2)*(AH705/1.2))</f>
        <v>8225</v>
      </c>
      <c r="O705" s="257">
        <f>IF($W$5=0.2,N705*1.2,N705)/$W$4</f>
        <v>9870</v>
      </c>
      <c r="P705" s="256">
        <f>IF(AI705="","",(1-$W$2)*(AI705/1.2))</f>
        <v>8225</v>
      </c>
      <c r="Q705" s="257">
        <f>IF($W$5=0.2,P705*1.2,P705)/$W$4</f>
        <v>9870</v>
      </c>
      <c r="R705" s="256"/>
      <c r="S705" s="258"/>
      <c r="T705" s="256"/>
      <c r="U705" s="258"/>
      <c r="V705" s="256"/>
      <c r="W705" s="258"/>
      <c r="X705" s="191"/>
      <c r="AB705" s="195" t="str">
        <f>C705</f>
        <v>Verto LINE-3D</v>
      </c>
      <c r="AC705" s="219">
        <v>8980</v>
      </c>
      <c r="AD705" s="219">
        <v>9870</v>
      </c>
      <c r="AE705" s="219">
        <v>9870</v>
      </c>
      <c r="AF705" s="219">
        <v>9870</v>
      </c>
      <c r="AG705" s="219">
        <v>9870</v>
      </c>
      <c r="AH705" s="219">
        <v>9870</v>
      </c>
      <c r="AI705" s="219">
        <v>9870</v>
      </c>
      <c r="AJ705" s="1"/>
      <c r="AK705" s="1"/>
      <c r="AL705" s="1"/>
      <c r="AM705" s="1"/>
      <c r="AN705" s="1"/>
      <c r="AO705" s="1"/>
      <c r="AP705" s="1"/>
      <c r="AQ705" s="1"/>
      <c r="AR705" s="192"/>
      <c r="AS705" s="192"/>
      <c r="AT705" s="192"/>
    </row>
    <row r="706" spans="2:46" s="190" customFormat="1" ht="24.9" customHeight="1" x14ac:dyDescent="0.25">
      <c r="B706" s="206"/>
      <c r="C706" s="207" t="str">
        <f>IF($C$1="ENG","Premium","Premium")</f>
        <v>Premium</v>
      </c>
      <c r="D706" s="208">
        <f>IF(AC706="","",(1-$W$2)*(AC706/1.2))</f>
        <v>7858.3333333333339</v>
      </c>
      <c r="E706" s="209">
        <f>IF($W$5=0.2,D706*1.2,D706)/$W$4</f>
        <v>9430</v>
      </c>
      <c r="F706" s="208">
        <f>IF(AD706="","",(1-$W$2)*(AD706/1.2))</f>
        <v>8616.6666666666679</v>
      </c>
      <c r="G706" s="209">
        <f>IF($W$5=0.2,F706*1.2,F706)/$W$4</f>
        <v>10340.000000000002</v>
      </c>
      <c r="H706" s="208">
        <f>IF(AE706="","",(1-$W$2)*(AE706/1.2))</f>
        <v>8616.6666666666679</v>
      </c>
      <c r="I706" s="209">
        <f>IF($W$5=0.2,H706*1.2,H706)/$W$4</f>
        <v>10340.000000000002</v>
      </c>
      <c r="J706" s="208">
        <f>IF(AF706="","",(1-$W$2)*(AF706/1.2))</f>
        <v>8616.6666666666679</v>
      </c>
      <c r="K706" s="209">
        <f>IF($W$5=0.2,J706*1.2,J706)/$W$4</f>
        <v>10340.000000000002</v>
      </c>
      <c r="L706" s="208">
        <f>IF(AG706="","",(1-$W$2)*(AG706/1.2))</f>
        <v>8616.6666666666679</v>
      </c>
      <c r="M706" s="209">
        <f>IF($W$5=0.2,L706*1.2,L706)/$W$4</f>
        <v>10340.000000000002</v>
      </c>
      <c r="N706" s="208">
        <f>IF(AH706="","",(1-$W$2)*(AH706/1.2))</f>
        <v>8616.6666666666679</v>
      </c>
      <c r="O706" s="209">
        <f>IF($W$5=0.2,N706*1.2,N706)/$W$4</f>
        <v>10340.000000000002</v>
      </c>
      <c r="P706" s="208">
        <f>IF(AI706="","",(1-$W$2)*(AI706/1.2))</f>
        <v>8616.6666666666679</v>
      </c>
      <c r="Q706" s="209">
        <f>IF($W$5=0.2,P706*1.2,P706)/$W$4</f>
        <v>10340.000000000002</v>
      </c>
      <c r="R706" s="208"/>
      <c r="S706" s="210"/>
      <c r="T706" s="208"/>
      <c r="U706" s="210"/>
      <c r="V706" s="208"/>
      <c r="W706" s="210"/>
      <c r="X706" s="191"/>
      <c r="AB706" s="195" t="str">
        <f>C706</f>
        <v>Premium</v>
      </c>
      <c r="AC706" s="219">
        <v>9430</v>
      </c>
      <c r="AD706" s="219">
        <v>10340</v>
      </c>
      <c r="AE706" s="219">
        <v>10340</v>
      </c>
      <c r="AF706" s="219">
        <v>10340</v>
      </c>
      <c r="AG706" s="219">
        <v>10340</v>
      </c>
      <c r="AH706" s="219">
        <v>10340</v>
      </c>
      <c r="AI706" s="219">
        <v>10340</v>
      </c>
      <c r="AJ706" s="1"/>
      <c r="AK706" s="1"/>
      <c r="AL706" s="1"/>
      <c r="AM706" s="1"/>
      <c r="AN706" s="1"/>
      <c r="AO706" s="1"/>
      <c r="AP706" s="1"/>
      <c r="AQ706" s="1"/>
      <c r="AR706" s="192"/>
      <c r="AS706" s="192"/>
      <c r="AT706" s="192"/>
    </row>
    <row r="707" spans="2:46" x14ac:dyDescent="0.25">
      <c r="B707" s="187"/>
      <c r="C707" s="1"/>
      <c r="D707" s="186"/>
      <c r="E707" s="186"/>
      <c r="F707" s="186"/>
      <c r="G707" s="186"/>
      <c r="H707" s="186"/>
      <c r="I707" s="186"/>
      <c r="J707" s="186"/>
      <c r="K707" s="186"/>
      <c r="L707" s="186"/>
      <c r="M707" s="200"/>
      <c r="N707" s="186"/>
      <c r="O707" s="186"/>
      <c r="P707" s="186"/>
      <c r="Q707" s="186"/>
      <c r="R707" s="186"/>
      <c r="S707" s="186"/>
      <c r="T707" s="186"/>
      <c r="U707" s="186"/>
      <c r="V707" s="186"/>
      <c r="W707" s="186"/>
      <c r="X707" s="186"/>
    </row>
    <row r="708" spans="2:46" x14ac:dyDescent="0.25">
      <c r="B708" s="211" t="str">
        <f>IF($C$1="ENG","For additonal charge:","Послуги за додаткову плату:")</f>
        <v>Послуги за додаткову плату:</v>
      </c>
      <c r="C708" s="212"/>
      <c r="D708" s="213"/>
      <c r="E708" s="214" t="str">
        <f>CONCATENATE(B702," ",C702)</f>
        <v>ЦІНА з ПДВ</v>
      </c>
      <c r="F708" s="215"/>
      <c r="G708" s="215"/>
      <c r="H708" s="215"/>
      <c r="I708" s="215"/>
      <c r="J708" s="215"/>
      <c r="K708" s="215"/>
      <c r="L708" s="215"/>
      <c r="M708" s="215"/>
      <c r="N708" s="215"/>
      <c r="O708" s="215"/>
      <c r="P708" s="215"/>
      <c r="Q708" s="215"/>
      <c r="R708" s="215"/>
      <c r="S708" s="215"/>
      <c r="T708" s="215"/>
      <c r="U708" s="215"/>
      <c r="V708" s="215"/>
      <c r="W708" s="215"/>
      <c r="X708" s="186"/>
    </row>
    <row r="709" spans="2:46" x14ac:dyDescent="0.25">
      <c r="B709" s="187"/>
      <c r="C709" s="1"/>
      <c r="D709" s="186"/>
      <c r="E709" s="186"/>
      <c r="F709" s="186"/>
      <c r="G709" s="186"/>
      <c r="H709" s="186"/>
      <c r="I709" s="186"/>
      <c r="J709" s="186"/>
      <c r="K709" s="186"/>
      <c r="L709" s="186"/>
      <c r="M709" s="186"/>
      <c r="N709" s="186"/>
      <c r="O709" s="186"/>
      <c r="P709" s="186"/>
      <c r="Q709" s="186"/>
      <c r="R709" s="186"/>
      <c r="S709" s="186"/>
      <c r="T709" s="186"/>
      <c r="U709" s="186"/>
      <c r="V709" s="186"/>
      <c r="W709" s="186"/>
      <c r="X709" s="186"/>
    </row>
    <row r="710" spans="2:46" ht="15" customHeight="1" x14ac:dyDescent="0.25">
      <c r="B710" s="224"/>
      <c r="C710" s="223" t="str">
        <f>IF($C$1="ENG","door leaf with width 100","полотно розміром 100")</f>
        <v>полотно розміром 100</v>
      </c>
      <c r="D710" s="236">
        <f>IF(AC710="","",(1-$W$2)*(AC710/1.2))</f>
        <v>650</v>
      </c>
      <c r="E710" s="227">
        <f>IF($W$5=0.2,D710*1.2,D710)/$W$4</f>
        <v>780</v>
      </c>
      <c r="F710" s="191"/>
      <c r="G710" s="229"/>
      <c r="H710" s="224"/>
      <c r="I710" s="223" t="str">
        <f>IF($C$1="ENG","door lock Soft","замок Soft")</f>
        <v>замок Soft</v>
      </c>
      <c r="J710" s="238">
        <f>IF(AF710="","",(1-$W$2)*(AF710/1.2))</f>
        <v>525</v>
      </c>
      <c r="K710" s="227">
        <f>IF($W$5=0.2,J710*1.2,J710)/$W$4</f>
        <v>630</v>
      </c>
      <c r="L710" s="191"/>
      <c r="M710" s="229"/>
      <c r="N710" s="224"/>
      <c r="O710" s="223" t="str">
        <f>IF($C$1="ENG","cylinder incert","циліндр несиметричний")</f>
        <v>циліндр несиметричний</v>
      </c>
      <c r="P710" s="236">
        <f>IF(AI710="","",(1-$W$2)*(AI710/1.2))</f>
        <v>375</v>
      </c>
      <c r="Q710" s="227">
        <f>IF($W$5=0.2,P710*1.2,P710)/$W$4</f>
        <v>450</v>
      </c>
      <c r="R710" s="186"/>
      <c r="S710" s="186"/>
      <c r="T710" s="186"/>
      <c r="U710" s="186"/>
      <c r="V710" s="186"/>
      <c r="W710" s="186"/>
      <c r="X710" s="186"/>
      <c r="AC710" s="218">
        <v>780</v>
      </c>
      <c r="AF710" s="218">
        <v>630</v>
      </c>
      <c r="AI710" s="218">
        <v>450</v>
      </c>
    </row>
    <row r="711" spans="2:46" ht="15" customHeight="1" x14ac:dyDescent="0.25">
      <c r="C711" s="222" t="str">
        <f>IF($C$1="ENG","glazing Triplex mat / black","скло Триплекс матовий / чорний")</f>
        <v>скло Триплекс матовий / чорний</v>
      </c>
      <c r="D711" s="237">
        <f>IF(AC711="","",(1-$W$2)*(AC711/1.2))</f>
        <v>1016.6666666666667</v>
      </c>
      <c r="E711" s="228">
        <f>IF($W$5=0.2,D711*1.2,D711)/$W$4</f>
        <v>1220</v>
      </c>
      <c r="F711" s="191"/>
      <c r="G711" s="230"/>
      <c r="H711" s="225"/>
      <c r="I711" s="222" t="str">
        <f>IF($C$1="ENG","door lock Soft black","замок Soft чорн.")</f>
        <v>замок Soft чорн.</v>
      </c>
      <c r="J711" s="239">
        <f>IF(AF711="","",(1-$W$2)*(AF711/1.2))</f>
        <v>650</v>
      </c>
      <c r="K711" s="228">
        <f>IF($W$5=0.2,J711*1.2,J711)/$W$4</f>
        <v>780</v>
      </c>
      <c r="L711" s="191"/>
      <c r="M711" s="230"/>
      <c r="N711" s="225"/>
      <c r="O711" s="222" t="str">
        <f>IF($C$1="ENG","door hindge Prestige (1 unit)","завіса Prestige (1 шт)")</f>
        <v>завіса Prestige (1 шт)</v>
      </c>
      <c r="P711" s="240">
        <f>IF(AI711="","",(1-$W$2)*(AI711/1.2))</f>
        <v>250</v>
      </c>
      <c r="Q711" s="228">
        <f>IF($W$5=0.2,P711*1.2,P711)/$W$4</f>
        <v>300</v>
      </c>
      <c r="R711" s="186"/>
      <c r="S711" s="186"/>
      <c r="T711" s="186"/>
      <c r="U711" s="186"/>
      <c r="V711" s="186"/>
      <c r="W711" s="186"/>
      <c r="X711" s="186"/>
      <c r="AC711" s="218">
        <v>1220</v>
      </c>
      <c r="AF711" s="218">
        <v>780</v>
      </c>
      <c r="AI711" s="218">
        <v>300</v>
      </c>
    </row>
    <row r="712" spans="2:46" ht="15" customHeight="1" x14ac:dyDescent="0.25">
      <c r="B712" s="225"/>
      <c r="C712" s="222" t="str">
        <f>IF($C$1="ENG","glazing Graphite / Bronze","скло Графіт / Бронза")</f>
        <v>скло Графіт / Бронза</v>
      </c>
      <c r="D712" s="237">
        <f>IF(AC712="","",(1-$W$2)*(AC712/1.2))</f>
        <v>750</v>
      </c>
      <c r="E712" s="228">
        <f>IF($W$5=0.2,D712*1.2,D712)/$W$4</f>
        <v>900</v>
      </c>
      <c r="F712" s="191"/>
      <c r="G712" s="230"/>
      <c r="H712" s="225"/>
      <c r="I712" s="222" t="str">
        <f>IF($C$1="ENG","door lock Magnet","замок Magnet")</f>
        <v>замок Magnet</v>
      </c>
      <c r="J712" s="239">
        <f>IF(AF712="","",(1-$W$2)*(AF712/1.2))</f>
        <v>766.66666666666674</v>
      </c>
      <c r="K712" s="228">
        <f>IF($W$5=0.2,J712*1.2,J712)/$W$4</f>
        <v>920.00000000000011</v>
      </c>
      <c r="L712" s="191"/>
      <c r="M712" s="230"/>
      <c r="N712" s="225"/>
      <c r="O712" s="222" t="str">
        <f>IF($C$1="ENG","door hinge caps (1 set)","накладка на завіси (1 к-т)")</f>
        <v>накладка на завіси (1 к-т)</v>
      </c>
      <c r="P712" s="240">
        <f>IF(AI712="","",(1-$W$2)*(AI712/1.2))</f>
        <v>75</v>
      </c>
      <c r="Q712" s="228">
        <f>IF($W$5=0.2,P712*1.2,P712)/$W$4</f>
        <v>90</v>
      </c>
      <c r="R712" s="186"/>
      <c r="S712" s="186"/>
      <c r="T712" s="186"/>
      <c r="U712" s="186"/>
      <c r="V712" s="186"/>
      <c r="W712" s="186"/>
      <c r="X712" s="186"/>
      <c r="AC712" s="218">
        <v>900</v>
      </c>
      <c r="AF712" s="218">
        <v>920</v>
      </c>
      <c r="AI712" s="218">
        <v>90</v>
      </c>
    </row>
    <row r="713" spans="2:46" s="8" customFormat="1" ht="15" customHeight="1" x14ac:dyDescent="0.25">
      <c r="B713" s="1"/>
      <c r="C713" s="1"/>
      <c r="D713" s="1"/>
      <c r="E713" s="1"/>
      <c r="F713" s="184"/>
      <c r="G713" s="231"/>
      <c r="H713" s="226"/>
      <c r="I713" s="222" t="str">
        <f>IF($C$1="ENG","door lock Magnet black","замок Magnet чорн.")</f>
        <v>замок Magnet чорн.</v>
      </c>
      <c r="J713" s="239">
        <f>IF(AF713="","",(1-$W$2)*(AF713/1.2))</f>
        <v>958.33333333333337</v>
      </c>
      <c r="K713" s="228">
        <f>IF($W$5=0.2,J713*1.2,J713)/$W$4</f>
        <v>1150</v>
      </c>
      <c r="L713" s="220"/>
      <c r="M713" s="233"/>
      <c r="N713" s="226"/>
      <c r="O713" s="222" t="str">
        <f>IF($C$1="ENG","door handle","дверна ручка")</f>
        <v>дверна ручка</v>
      </c>
      <c r="P713" s="237">
        <f>IF(AI713="","",(1-$W$2)*(AI713/1.2))</f>
        <v>0</v>
      </c>
      <c r="Q713" s="235" t="str">
        <f>IF($C$1="ENG","see Handles Price","див. Таблицю Ручки")</f>
        <v>див. Таблицю Ручки</v>
      </c>
      <c r="AC713" s="1"/>
      <c r="AF713" s="218">
        <v>1150</v>
      </c>
      <c r="AI713" s="218">
        <v>0</v>
      </c>
      <c r="AN713" s="123"/>
      <c r="AO713" s="123"/>
      <c r="AP713" s="123"/>
      <c r="AQ713" s="123"/>
      <c r="AR713" s="123"/>
      <c r="AS713" s="123"/>
      <c r="AT713" s="123"/>
    </row>
    <row r="714" spans="2:46" ht="15" customHeight="1" x14ac:dyDescent="0.25">
      <c r="C714" s="1"/>
      <c r="F714" s="221"/>
      <c r="G714" s="38"/>
      <c r="H714" s="10"/>
      <c r="I714" s="60"/>
      <c r="K714" s="17"/>
      <c r="L714" s="190"/>
      <c r="M714" s="230"/>
      <c r="N714" s="225"/>
      <c r="O714" s="222" t="str">
        <f>IF($C$1="ENG","perforated chipboard (Model 1,3)","ДСП трубчасте (Модель 1,3)")</f>
        <v>ДСП трубчасте (Модель 1,3)</v>
      </c>
      <c r="P714" s="240">
        <f>IF(AI714="","",(1-$W$2)*(AI714/1.2))</f>
        <v>891.66666666666674</v>
      </c>
      <c r="Q714" s="228">
        <f>IF($W$5=0.2,P714*1.2,P714)/$W$4</f>
        <v>1070</v>
      </c>
      <c r="AI714" s="218">
        <v>1070</v>
      </c>
      <c r="AN714" s="1"/>
    </row>
    <row r="715" spans="2:46" x14ac:dyDescent="0.25">
      <c r="C715" s="110"/>
      <c r="D715" s="21"/>
      <c r="E715" s="21"/>
      <c r="F715" s="21"/>
      <c r="G715" s="21"/>
      <c r="H715" s="5"/>
    </row>
    <row r="716" spans="2:46" x14ac:dyDescent="0.25">
      <c r="C716" s="110"/>
      <c r="D716" s="21"/>
      <c r="E716" s="21"/>
      <c r="F716" s="21"/>
      <c r="G716" s="21"/>
      <c r="H716" s="5"/>
    </row>
    <row r="717" spans="2:46" x14ac:dyDescent="0.25">
      <c r="C717" s="110"/>
      <c r="D717" s="21"/>
      <c r="E717" s="21"/>
      <c r="F717" s="21"/>
      <c r="G717" s="21"/>
      <c r="H717" s="5"/>
    </row>
    <row r="718" spans="2:46" s="8" customFormat="1" x14ac:dyDescent="0.25">
      <c r="B718" s="1"/>
      <c r="C718" s="110"/>
      <c r="D718" s="21"/>
      <c r="E718" s="21"/>
      <c r="F718" s="21"/>
      <c r="G718" s="21"/>
      <c r="H718" s="5"/>
      <c r="I718" s="1"/>
      <c r="J718" s="1"/>
      <c r="K718" s="1"/>
      <c r="AN718" s="123"/>
      <c r="AO718" s="123"/>
      <c r="AP718" s="123"/>
      <c r="AQ718" s="123"/>
      <c r="AR718" s="123"/>
      <c r="AS718" s="123"/>
      <c r="AT718" s="123"/>
    </row>
    <row r="719" spans="2:46" s="8" customFormat="1" ht="24.9" customHeight="1" x14ac:dyDescent="0.25">
      <c r="B719" s="246" t="str">
        <f>TITLE!$C$31</f>
        <v>Полотна скляні: ELEGANT</v>
      </c>
      <c r="C719" s="244"/>
      <c r="D719" s="245"/>
      <c r="E719" s="245"/>
      <c r="F719" s="216"/>
      <c r="G719" s="216"/>
      <c r="H719" s="216"/>
      <c r="I719" s="217"/>
      <c r="J719" s="217"/>
      <c r="K719" s="217"/>
      <c r="L719" s="217"/>
      <c r="M719" s="217"/>
      <c r="N719" s="217"/>
      <c r="O719" s="217"/>
      <c r="P719" s="217"/>
      <c r="Q719" s="217"/>
      <c r="R719" s="217"/>
      <c r="S719" s="217"/>
      <c r="T719" s="217"/>
      <c r="U719" s="217"/>
      <c r="V719" s="217"/>
      <c r="W719" s="217"/>
      <c r="X719" s="185"/>
      <c r="AN719" s="123"/>
      <c r="AO719" s="123"/>
      <c r="AP719" s="123"/>
      <c r="AQ719" s="123"/>
      <c r="AR719" s="123"/>
      <c r="AS719" s="123"/>
      <c r="AT719" s="123"/>
    </row>
    <row r="720" spans="2:46" s="8" customFormat="1" x14ac:dyDescent="0.25">
      <c r="B720" s="83"/>
      <c r="C720" s="162"/>
      <c r="D720" s="247"/>
      <c r="E720" s="247"/>
      <c r="F720" s="247"/>
      <c r="G720" s="247"/>
      <c r="H720" s="10"/>
      <c r="I720" s="264"/>
      <c r="J720" s="10"/>
      <c r="K720" s="264"/>
      <c r="L720" s="10"/>
      <c r="M720" s="264"/>
      <c r="N720" s="10"/>
      <c r="O720" s="264"/>
      <c r="P720" s="10"/>
      <c r="Q720" s="264"/>
      <c r="T720" s="90"/>
      <c r="U720" s="90"/>
      <c r="V720" s="90"/>
      <c r="W720" s="90"/>
      <c r="AN720" s="123"/>
      <c r="AO720" s="123"/>
      <c r="AP720" s="123"/>
      <c r="AQ720" s="123"/>
      <c r="AR720" s="123"/>
      <c r="AS720" s="123"/>
      <c r="AT720" s="123"/>
    </row>
    <row r="721" spans="2:46" x14ac:dyDescent="0.25">
      <c r="B721" s="186"/>
      <c r="C721" s="193" t="str">
        <f>IF($C$1="ENG","model:","модель:")</f>
        <v>модель:</v>
      </c>
      <c r="D721" s="186"/>
      <c r="E721" s="196">
        <v>1</v>
      </c>
      <c r="F721" s="188"/>
      <c r="G721" s="196">
        <v>2</v>
      </c>
      <c r="H721" s="188"/>
      <c r="I721" s="196">
        <v>3</v>
      </c>
      <c r="J721" s="188"/>
      <c r="K721" s="196">
        <v>4</v>
      </c>
      <c r="L721" s="188"/>
      <c r="M721" s="196">
        <v>5</v>
      </c>
      <c r="N721" s="188"/>
      <c r="O721" s="196">
        <v>6</v>
      </c>
      <c r="P721" s="188"/>
      <c r="Q721" s="196">
        <v>7</v>
      </c>
      <c r="R721" s="186"/>
      <c r="S721" s="186"/>
      <c r="T721" s="186"/>
      <c r="U721" s="186"/>
      <c r="V721" s="186"/>
      <c r="W721" s="186"/>
      <c r="X721" s="186"/>
    </row>
    <row r="722" spans="2:46" x14ac:dyDescent="0.25">
      <c r="B722" s="186"/>
      <c r="C722" s="187"/>
      <c r="D722" s="186"/>
      <c r="E722" s="197"/>
      <c r="F722" s="186"/>
      <c r="G722" s="197"/>
      <c r="H722" s="186"/>
      <c r="I722" s="197"/>
      <c r="J722" s="186"/>
      <c r="K722" s="197"/>
      <c r="L722" s="186"/>
      <c r="M722" s="197"/>
      <c r="N722" s="186"/>
      <c r="O722" s="197"/>
      <c r="P722" s="186"/>
      <c r="Q722" s="197"/>
      <c r="R722" s="186"/>
      <c r="S722" s="186"/>
      <c r="T722" s="186"/>
      <c r="U722" s="186"/>
      <c r="V722" s="186"/>
      <c r="W722" s="186"/>
      <c r="X722" s="186"/>
    </row>
    <row r="723" spans="2:46" x14ac:dyDescent="0.25">
      <c r="B723" s="186"/>
      <c r="C723" s="187"/>
      <c r="D723" s="186"/>
      <c r="E723" s="197"/>
      <c r="F723" s="186"/>
      <c r="G723" s="197"/>
      <c r="H723" s="186"/>
      <c r="I723" s="197"/>
      <c r="J723" s="186"/>
      <c r="K723" s="197"/>
      <c r="L723" s="186"/>
      <c r="M723" s="197"/>
      <c r="N723" s="186"/>
      <c r="O723" s="197"/>
      <c r="P723" s="186"/>
      <c r="Q723" s="197"/>
      <c r="R723" s="186"/>
      <c r="S723" s="186"/>
      <c r="T723" s="186"/>
      <c r="U723" s="186"/>
      <c r="V723" s="186"/>
      <c r="W723" s="186"/>
      <c r="X723" s="186"/>
    </row>
    <row r="724" spans="2:46" x14ac:dyDescent="0.25">
      <c r="B724" s="186"/>
      <c r="C724" s="187"/>
      <c r="D724" s="186"/>
      <c r="E724" s="197"/>
      <c r="F724" s="186"/>
      <c r="G724" s="197"/>
      <c r="H724" s="186"/>
      <c r="I724" s="197"/>
      <c r="J724" s="186"/>
      <c r="K724" s="197"/>
      <c r="L724" s="186"/>
      <c r="M724" s="197"/>
      <c r="N724" s="186"/>
      <c r="O724" s="197"/>
      <c r="P724" s="186"/>
      <c r="Q724" s="197"/>
      <c r="R724" s="186"/>
      <c r="S724" s="186"/>
      <c r="T724" s="186"/>
      <c r="U724" s="186"/>
      <c r="V724" s="186"/>
      <c r="W724" s="186"/>
      <c r="X724" s="186"/>
    </row>
    <row r="725" spans="2:46" x14ac:dyDescent="0.25">
      <c r="B725" s="186"/>
      <c r="C725" s="187"/>
      <c r="D725" s="186"/>
      <c r="E725" s="197"/>
      <c r="F725" s="186"/>
      <c r="G725" s="197"/>
      <c r="H725" s="186"/>
      <c r="I725" s="197"/>
      <c r="J725" s="186"/>
      <c r="K725" s="197"/>
      <c r="L725" s="186"/>
      <c r="M725" s="197"/>
      <c r="N725" s="186"/>
      <c r="O725" s="197"/>
      <c r="P725" s="186"/>
      <c r="Q725" s="197"/>
      <c r="R725" s="186"/>
      <c r="S725" s="186"/>
      <c r="T725" s="186"/>
      <c r="U725" s="186"/>
      <c r="V725" s="186"/>
      <c r="W725" s="186"/>
      <c r="X725" s="186"/>
    </row>
    <row r="726" spans="2:46" x14ac:dyDescent="0.25">
      <c r="B726" s="186"/>
      <c r="C726" s="187"/>
      <c r="D726" s="186"/>
      <c r="E726" s="197"/>
      <c r="F726" s="186"/>
      <c r="G726" s="197"/>
      <c r="H726" s="186"/>
      <c r="I726" s="197"/>
      <c r="J726" s="186"/>
      <c r="K726" s="197"/>
      <c r="L726" s="186"/>
      <c r="M726" s="197"/>
      <c r="N726" s="186"/>
      <c r="O726" s="197"/>
      <c r="P726" s="186"/>
      <c r="Q726" s="197"/>
      <c r="R726" s="186"/>
      <c r="S726" s="186"/>
      <c r="T726" s="186"/>
      <c r="U726" s="186"/>
      <c r="V726" s="186"/>
      <c r="W726" s="186"/>
      <c r="X726" s="186"/>
    </row>
    <row r="727" spans="2:46" x14ac:dyDescent="0.25">
      <c r="B727" s="186"/>
      <c r="C727" s="187"/>
      <c r="D727" s="186"/>
      <c r="E727" s="197"/>
      <c r="F727" s="186"/>
      <c r="G727" s="197"/>
      <c r="H727" s="186"/>
      <c r="I727" s="197"/>
      <c r="J727" s="186"/>
      <c r="K727" s="197"/>
      <c r="L727" s="186"/>
      <c r="M727" s="197"/>
      <c r="N727" s="186"/>
      <c r="O727" s="197"/>
      <c r="P727" s="186"/>
      <c r="Q727" s="197"/>
      <c r="R727" s="186"/>
      <c r="S727" s="186"/>
      <c r="T727" s="186"/>
      <c r="U727" s="186"/>
      <c r="V727" s="186"/>
      <c r="W727" s="186"/>
      <c r="X727" s="186"/>
    </row>
    <row r="728" spans="2:46" x14ac:dyDescent="0.25">
      <c r="B728" s="186"/>
      <c r="C728" s="187"/>
      <c r="D728" s="186"/>
      <c r="E728" s="197"/>
      <c r="F728" s="186"/>
      <c r="G728" s="197"/>
      <c r="H728" s="186"/>
      <c r="I728" s="197"/>
      <c r="J728" s="186"/>
      <c r="K728" s="197"/>
      <c r="L728" s="186"/>
      <c r="M728" s="197"/>
      <c r="N728" s="186"/>
      <c r="O728" s="197"/>
      <c r="P728" s="186"/>
      <c r="Q728" s="197"/>
      <c r="R728" s="186"/>
      <c r="S728" s="186"/>
      <c r="T728" s="186"/>
      <c r="U728" s="186"/>
      <c r="V728" s="186"/>
      <c r="W728" s="186"/>
      <c r="X728" s="186"/>
    </row>
    <row r="729" spans="2:46" x14ac:dyDescent="0.25">
      <c r="B729" s="186"/>
      <c r="C729" s="1"/>
      <c r="D729" s="186"/>
      <c r="E729" s="197"/>
      <c r="F729" s="186"/>
      <c r="G729" s="197"/>
      <c r="H729" s="186"/>
      <c r="I729" s="197"/>
      <c r="J729" s="186"/>
      <c r="K729" s="197"/>
      <c r="L729" s="186"/>
      <c r="M729" s="197"/>
      <c r="N729" s="186"/>
      <c r="O729" s="197"/>
      <c r="P729" s="186"/>
      <c r="Q729" s="197"/>
      <c r="R729" s="186"/>
      <c r="S729" s="186"/>
      <c r="T729" s="186"/>
      <c r="U729" s="186"/>
      <c r="V729" s="186"/>
      <c r="W729" s="186"/>
      <c r="X729" s="186"/>
    </row>
    <row r="730" spans="2:46" x14ac:dyDescent="0.25">
      <c r="B730" s="186"/>
      <c r="C730" s="187" t="str">
        <f>IF($C$1="ENG","filling:","заповнення:")</f>
        <v>заповнення:</v>
      </c>
      <c r="D730" s="186"/>
      <c r="E730" s="198" t="str">
        <f>IF($C$1="ENG","softwood","клеєний брус")</f>
        <v>клеєний брус</v>
      </c>
      <c r="F730" s="189"/>
      <c r="G730" s="198" t="str">
        <f>IF($C$1="ENG","softwood","клеєний брус")</f>
        <v>клеєний брус</v>
      </c>
      <c r="H730" s="189"/>
      <c r="I730" s="198" t="str">
        <f>IF($C$1="ENG","softwood","клеєний брус")</f>
        <v>клеєний брус</v>
      </c>
      <c r="J730" s="189"/>
      <c r="K730" s="198" t="str">
        <f>IF($C$1="ENG","softwood","клеєний брус")</f>
        <v>клеєний брус</v>
      </c>
      <c r="L730" s="189"/>
      <c r="M730" s="198" t="str">
        <f>IF($C$1="ENG","softwood","клеєний брус")</f>
        <v>клеєний брус</v>
      </c>
      <c r="N730" s="189"/>
      <c r="O730" s="198" t="str">
        <f>IF($C$1="ENG","softwood","клеєний брус")</f>
        <v>клеєний брус</v>
      </c>
      <c r="P730" s="189"/>
      <c r="Q730" s="198" t="str">
        <f>IF($C$1="ENG","softwood","клеєний брус")</f>
        <v>клеєний брус</v>
      </c>
      <c r="R730" s="186"/>
      <c r="S730" s="186"/>
      <c r="T730" s="186"/>
      <c r="U730" s="186"/>
      <c r="V730" s="186"/>
      <c r="W730" s="186"/>
      <c r="X730" s="186"/>
    </row>
    <row r="731" spans="2:46" x14ac:dyDescent="0.25">
      <c r="B731" s="186"/>
      <c r="C731" s="187" t="str">
        <f>IF($C$1="ENG","glazing:","скління:")</f>
        <v>скління:</v>
      </c>
      <c r="D731" s="186"/>
      <c r="E731" s="198" t="str">
        <f>IF($C$1="ENG","Satin","Сатин")</f>
        <v>Сатин</v>
      </c>
      <c r="F731" s="189"/>
      <c r="G731" s="198" t="str">
        <f>IF($C$1="ENG","Satin+drawing","Сатин+малюнок")</f>
        <v>Сатин+малюнок</v>
      </c>
      <c r="H731" s="189"/>
      <c r="I731" s="198" t="str">
        <f>IF($C$1="ENG","Satin+drawing","Сатин+малюнок")</f>
        <v>Сатин+малюнок</v>
      </c>
      <c r="J731" s="189"/>
      <c r="K731" s="198" t="str">
        <f>IF($C$1="ENG","Satin+drawing","Сатин+малюнок")</f>
        <v>Сатин+малюнок</v>
      </c>
      <c r="L731" s="189"/>
      <c r="M731" s="198" t="str">
        <f>IF($C$1="ENG","Satin+drawing","Сатин+малюнок")</f>
        <v>Сатин+малюнок</v>
      </c>
      <c r="N731" s="189"/>
      <c r="O731" s="198" t="str">
        <f>IF($C$1="ENG","Satin+drawing","Сатин+малюнок")</f>
        <v>Сатин+малюнок</v>
      </c>
      <c r="P731" s="189"/>
      <c r="Q731" s="198" t="str">
        <f>IF($C$1="ENG","Satin+drawing","Сатин+малюнок")</f>
        <v>Сатин+малюнок</v>
      </c>
      <c r="R731" s="186"/>
      <c r="S731" s="186"/>
      <c r="T731" s="186"/>
      <c r="U731" s="186"/>
      <c r="V731" s="186"/>
      <c r="W731" s="186"/>
      <c r="X731" s="186"/>
    </row>
    <row r="732" spans="2:46" x14ac:dyDescent="0.25">
      <c r="D732" s="199"/>
      <c r="E732" s="197"/>
      <c r="F732" s="200"/>
      <c r="G732" s="197"/>
      <c r="H732" s="200"/>
      <c r="I732" s="197"/>
      <c r="J732" s="200"/>
      <c r="K732" s="197"/>
      <c r="L732" s="200"/>
      <c r="M732" s="197"/>
      <c r="N732" s="200"/>
      <c r="O732" s="197"/>
      <c r="P732" s="200"/>
      <c r="Q732" s="197"/>
      <c r="R732" s="200"/>
      <c r="S732" s="200"/>
      <c r="T732" s="200"/>
      <c r="U732" s="200"/>
      <c r="V732" s="200"/>
      <c r="W732" s="200"/>
      <c r="X732" s="186"/>
    </row>
    <row r="733" spans="2:46" s="190" customFormat="1" ht="15" customHeight="1" x14ac:dyDescent="0.25">
      <c r="B733" s="241" t="str">
        <f>IF($C$1="ENG","PRICE","ЦІНА")</f>
        <v>ЦІНА</v>
      </c>
      <c r="C733" s="242" t="str">
        <f>IF($C$1="ENG",IF($W$5=0.2,"with VAT","no VAT"),IF($W$5=0.2,"з ПДВ","без ПДВ"))</f>
        <v>з ПДВ</v>
      </c>
      <c r="D733" s="191"/>
      <c r="E733" s="243"/>
      <c r="F733" s="191"/>
      <c r="G733" s="243"/>
      <c r="H733" s="191"/>
      <c r="I733" s="243"/>
      <c r="J733" s="191"/>
      <c r="K733" s="243"/>
      <c r="L733" s="191"/>
      <c r="M733" s="243"/>
      <c r="N733" s="191"/>
      <c r="O733" s="243"/>
      <c r="P733" s="191"/>
      <c r="Q733" s="243"/>
      <c r="R733" s="191"/>
      <c r="S733" s="191"/>
      <c r="T733" s="191"/>
      <c r="U733" s="191"/>
      <c r="V733" s="191"/>
      <c r="W733" s="191"/>
      <c r="X733" s="191"/>
      <c r="AM733" s="331"/>
      <c r="AN733" s="192"/>
      <c r="AO733" s="192"/>
      <c r="AP733" s="192"/>
      <c r="AQ733" s="192"/>
      <c r="AR733" s="192"/>
      <c r="AS733" s="192"/>
      <c r="AT733" s="192"/>
    </row>
    <row r="734" spans="2:46" s="190" customFormat="1" ht="24.9" customHeight="1" x14ac:dyDescent="0.25">
      <c r="B734" s="201" t="str">
        <f>IF($C$1="ENG","Cover:","Покриття:")</f>
        <v>Покриття:</v>
      </c>
      <c r="C734" s="202" t="str">
        <f>IF($C$1="ENG","Verto-CELL","Verto-CELL")</f>
        <v>Verto-CELL</v>
      </c>
      <c r="D734" s="203">
        <f>IF(AC734="","",(1-$W$2)*(AC734/1.2))</f>
        <v>7150</v>
      </c>
      <c r="E734" s="204">
        <f>IF($W$5=0.2,D734*1.2,D734)/$W$4</f>
        <v>8580</v>
      </c>
      <c r="F734" s="203">
        <f>IF(AD734="","",(1-$W$2)*(AD734/1.2))</f>
        <v>7850</v>
      </c>
      <c r="G734" s="204">
        <f>IF($W$5=0.2,F734*1.2,F734)/$W$4</f>
        <v>9420</v>
      </c>
      <c r="H734" s="203">
        <f>IF(AE734="","",(1-$W$2)*(AE734/1.2))</f>
        <v>7850</v>
      </c>
      <c r="I734" s="204">
        <f>IF($W$5=0.2,H734*1.2,H734)/$W$4</f>
        <v>9420</v>
      </c>
      <c r="J734" s="203">
        <f>IF(AF734="","",(1-$W$2)*(AF734/1.2))</f>
        <v>7850</v>
      </c>
      <c r="K734" s="204">
        <f>IF($W$5=0.2,J734*1.2,J734)/$W$4</f>
        <v>9420</v>
      </c>
      <c r="L734" s="203">
        <f>IF(AG734="","",(1-$W$2)*(AG734/1.2))</f>
        <v>7850</v>
      </c>
      <c r="M734" s="204">
        <f>IF($W$5=0.2,L734*1.2,L734)/$W$4</f>
        <v>9420</v>
      </c>
      <c r="N734" s="203">
        <f>IF(AH734="","",(1-$W$2)*(AH734/1.2))</f>
        <v>7850</v>
      </c>
      <c r="O734" s="204">
        <f>IF($W$5=0.2,N734*1.2,N734)/$W$4</f>
        <v>9420</v>
      </c>
      <c r="P734" s="203">
        <f>IF(AI734="","",(1-$W$2)*(AI734/1.2))</f>
        <v>7850</v>
      </c>
      <c r="Q734" s="204">
        <f>IF($W$5=0.2,P734*1.2,P734)/$W$4</f>
        <v>9420</v>
      </c>
      <c r="R734" s="203"/>
      <c r="S734" s="205"/>
      <c r="T734" s="203"/>
      <c r="U734" s="205"/>
      <c r="V734" s="203"/>
      <c r="W734" s="205"/>
      <c r="X734" s="191"/>
      <c r="AB734" s="195" t="str">
        <f>C734</f>
        <v>Verto-CELL</v>
      </c>
      <c r="AC734" s="219">
        <v>8580</v>
      </c>
      <c r="AD734" s="219">
        <v>9420</v>
      </c>
      <c r="AE734" s="219">
        <v>9420</v>
      </c>
      <c r="AF734" s="219">
        <v>9420</v>
      </c>
      <c r="AG734" s="219">
        <v>9420</v>
      </c>
      <c r="AH734" s="219">
        <v>9420</v>
      </c>
      <c r="AI734" s="219">
        <v>9420</v>
      </c>
      <c r="AJ734" s="1"/>
      <c r="AK734" s="1"/>
      <c r="AL734" s="1"/>
      <c r="AM734" s="1"/>
      <c r="AN734" s="1"/>
      <c r="AO734" s="1"/>
      <c r="AP734" s="1"/>
      <c r="AQ734" s="1"/>
      <c r="AR734" s="192"/>
      <c r="AS734" s="192"/>
      <c r="AT734" s="192"/>
    </row>
    <row r="735" spans="2:46" s="190" customFormat="1" ht="24.9" customHeight="1" x14ac:dyDescent="0.25">
      <c r="B735" s="254"/>
      <c r="C735" s="255" t="str">
        <f>IF($C$1="ENG","RESIST","RESIST")</f>
        <v>RESIST</v>
      </c>
      <c r="D735" s="256">
        <f>IF(AC735="","",(1-$W$2)*(AC735/1.2))</f>
        <v>7991.666666666667</v>
      </c>
      <c r="E735" s="257">
        <f>IF($W$5=0.2,D735*1.2,D735)/$W$4</f>
        <v>9590</v>
      </c>
      <c r="F735" s="256">
        <f>IF(AD735="","",(1-$W$2)*(AD735/1.2))</f>
        <v>8791.6666666666679</v>
      </c>
      <c r="G735" s="257">
        <f>IF($W$5=0.2,F735*1.2,F735)/$W$4</f>
        <v>10550.000000000002</v>
      </c>
      <c r="H735" s="256">
        <f>IF(AE735="","",(1-$W$2)*(AE735/1.2))</f>
        <v>8791.6666666666679</v>
      </c>
      <c r="I735" s="257">
        <f>IF($W$5=0.2,H735*1.2,H735)/$W$4</f>
        <v>10550.000000000002</v>
      </c>
      <c r="J735" s="256">
        <f>IF(AF735="","",(1-$W$2)*(AF735/1.2))</f>
        <v>8791.6666666666679</v>
      </c>
      <c r="K735" s="257">
        <f>IF($W$5=0.2,J735*1.2,J735)/$W$4</f>
        <v>10550.000000000002</v>
      </c>
      <c r="L735" s="256">
        <f>IF(AG735="","",(1-$W$2)*(AG735/1.2))</f>
        <v>8791.6666666666679</v>
      </c>
      <c r="M735" s="257">
        <f>IF($W$5=0.2,L735*1.2,L735)/$W$4</f>
        <v>10550.000000000002</v>
      </c>
      <c r="N735" s="256">
        <f>IF(AH735="","",(1-$W$2)*(AH735/1.2))</f>
        <v>8791.6666666666679</v>
      </c>
      <c r="O735" s="257">
        <f>IF($W$5=0.2,N735*1.2,N735)/$W$4</f>
        <v>10550.000000000002</v>
      </c>
      <c r="P735" s="256">
        <f>IF(AI735="","",(1-$W$2)*(AI735/1.2))</f>
        <v>8791.6666666666679</v>
      </c>
      <c r="Q735" s="257">
        <f>IF($W$5=0.2,P735*1.2,P735)/$W$4</f>
        <v>10550.000000000002</v>
      </c>
      <c r="R735" s="256"/>
      <c r="S735" s="258"/>
      <c r="T735" s="256"/>
      <c r="U735" s="258"/>
      <c r="V735" s="256"/>
      <c r="W735" s="258"/>
      <c r="X735" s="191"/>
      <c r="AB735" s="195" t="str">
        <f>C735</f>
        <v>RESIST</v>
      </c>
      <c r="AC735" s="219">
        <v>9590</v>
      </c>
      <c r="AD735" s="219">
        <v>10550</v>
      </c>
      <c r="AE735" s="219">
        <v>10550</v>
      </c>
      <c r="AF735" s="219">
        <v>10550</v>
      </c>
      <c r="AG735" s="219">
        <v>10550</v>
      </c>
      <c r="AH735" s="219">
        <v>10550</v>
      </c>
      <c r="AI735" s="219">
        <v>10550</v>
      </c>
      <c r="AJ735" s="1"/>
      <c r="AK735" s="1"/>
      <c r="AL735" s="1"/>
      <c r="AM735" s="1"/>
      <c r="AN735" s="1"/>
      <c r="AO735" s="1"/>
      <c r="AP735" s="1"/>
      <c r="AQ735" s="1"/>
      <c r="AR735" s="192"/>
      <c r="AS735" s="192"/>
      <c r="AT735" s="192"/>
    </row>
    <row r="736" spans="2:46" s="190" customFormat="1" ht="24.9" customHeight="1" x14ac:dyDescent="0.25">
      <c r="B736" s="254"/>
      <c r="C736" s="255" t="str">
        <f>IF($C$1="ENG","Verto LINE-3D","Verto LINE-3D")</f>
        <v>Verto LINE-3D</v>
      </c>
      <c r="D736" s="256">
        <f>IF(AC736="","",(1-$W$2)*(AC736/1.2))</f>
        <v>8391.6666666666679</v>
      </c>
      <c r="E736" s="257">
        <f>IF($W$5=0.2,D736*1.2,D736)/$W$4</f>
        <v>10070.000000000002</v>
      </c>
      <c r="F736" s="256">
        <f>IF(AD736="","",(1-$W$2)*(AD736/1.2))</f>
        <v>9166.6666666666679</v>
      </c>
      <c r="G736" s="257">
        <f>IF($W$5=0.2,F736*1.2,F736)/$W$4</f>
        <v>11000.000000000002</v>
      </c>
      <c r="H736" s="256">
        <f>IF(AE736="","",(1-$W$2)*(AE736/1.2))</f>
        <v>9166.6666666666679</v>
      </c>
      <c r="I736" s="257">
        <f>IF($W$5=0.2,H736*1.2,H736)/$W$4</f>
        <v>11000.000000000002</v>
      </c>
      <c r="J736" s="256">
        <f>IF(AF736="","",(1-$W$2)*(AF736/1.2))</f>
        <v>9166.6666666666679</v>
      </c>
      <c r="K736" s="257">
        <f>IF($W$5=0.2,J736*1.2,J736)/$W$4</f>
        <v>11000.000000000002</v>
      </c>
      <c r="L736" s="256">
        <f>IF(AG736="","",(1-$W$2)*(AG736/1.2))</f>
        <v>9166.6666666666679</v>
      </c>
      <c r="M736" s="257">
        <f>IF($W$5=0.2,L736*1.2,L736)/$W$4</f>
        <v>11000.000000000002</v>
      </c>
      <c r="N736" s="256">
        <f>IF(AH736="","",(1-$W$2)*(AH736/1.2))</f>
        <v>9166.6666666666679</v>
      </c>
      <c r="O736" s="257">
        <f>IF($W$5=0.2,N736*1.2,N736)/$W$4</f>
        <v>11000.000000000002</v>
      </c>
      <c r="P736" s="256">
        <f>IF(AI736="","",(1-$W$2)*(AI736/1.2))</f>
        <v>9166.6666666666679</v>
      </c>
      <c r="Q736" s="257">
        <f>IF($W$5=0.2,P736*1.2,P736)/$W$4</f>
        <v>11000.000000000002</v>
      </c>
      <c r="R736" s="256"/>
      <c r="S736" s="258"/>
      <c r="T736" s="256"/>
      <c r="U736" s="258"/>
      <c r="V736" s="256"/>
      <c r="W736" s="258"/>
      <c r="X736" s="191"/>
      <c r="AB736" s="195" t="str">
        <f>C736</f>
        <v>Verto LINE-3D</v>
      </c>
      <c r="AC736" s="219">
        <v>10070</v>
      </c>
      <c r="AD736" s="219">
        <v>11000</v>
      </c>
      <c r="AE736" s="219">
        <v>11000</v>
      </c>
      <c r="AF736" s="219">
        <v>11000</v>
      </c>
      <c r="AG736" s="219">
        <v>11000</v>
      </c>
      <c r="AH736" s="219">
        <v>11000</v>
      </c>
      <c r="AI736" s="219">
        <v>11000</v>
      </c>
      <c r="AJ736" s="1"/>
      <c r="AK736" s="1"/>
      <c r="AL736" s="1"/>
      <c r="AM736" s="1"/>
      <c r="AN736" s="1"/>
      <c r="AO736" s="1"/>
      <c r="AP736" s="1"/>
      <c r="AQ736" s="1"/>
      <c r="AR736" s="192"/>
      <c r="AS736" s="192"/>
      <c r="AT736" s="192"/>
    </row>
    <row r="737" spans="1:46" s="190" customFormat="1" ht="24.9" customHeight="1" x14ac:dyDescent="0.25">
      <c r="B737" s="206"/>
      <c r="C737" s="207" t="str">
        <f>IF($C$1="ENG","Premium","Premium")</f>
        <v>Premium</v>
      </c>
      <c r="D737" s="208">
        <f>IF(AC737="","",(1-$W$2)*(AC737/1.2))</f>
        <v>8791.6666666666679</v>
      </c>
      <c r="E737" s="209">
        <f>IF($W$5=0.2,D737*1.2,D737)/$W$4</f>
        <v>10550.000000000002</v>
      </c>
      <c r="F737" s="208">
        <f>IF(AD737="","",(1-$W$2)*(AD737/1.2))</f>
        <v>9566.6666666666679</v>
      </c>
      <c r="G737" s="209">
        <f>IF($W$5=0.2,F737*1.2,F737)/$W$4</f>
        <v>11480.000000000002</v>
      </c>
      <c r="H737" s="208">
        <f>IF(AE737="","",(1-$W$2)*(AE737/1.2))</f>
        <v>9566.6666666666679</v>
      </c>
      <c r="I737" s="209">
        <f>IF($W$5=0.2,H737*1.2,H737)/$W$4</f>
        <v>11480.000000000002</v>
      </c>
      <c r="J737" s="208">
        <f>IF(AF737="","",(1-$W$2)*(AF737/1.2))</f>
        <v>9566.6666666666679</v>
      </c>
      <c r="K737" s="209">
        <f>IF($W$5=0.2,J737*1.2,J737)/$W$4</f>
        <v>11480.000000000002</v>
      </c>
      <c r="L737" s="208">
        <f>IF(AG737="","",(1-$W$2)*(AG737/1.2))</f>
        <v>9566.6666666666679</v>
      </c>
      <c r="M737" s="209">
        <f>IF($W$5=0.2,L737*1.2,L737)/$W$4</f>
        <v>11480.000000000002</v>
      </c>
      <c r="N737" s="208">
        <f>IF(AH737="","",(1-$W$2)*(AH737/1.2))</f>
        <v>9566.6666666666679</v>
      </c>
      <c r="O737" s="209">
        <f>IF($W$5=0.2,N737*1.2,N737)/$W$4</f>
        <v>11480.000000000002</v>
      </c>
      <c r="P737" s="208">
        <f>IF(AI737="","",(1-$W$2)*(AI737/1.2))</f>
        <v>9566.6666666666679</v>
      </c>
      <c r="Q737" s="209">
        <f>IF($W$5=0.2,P737*1.2,P737)/$W$4</f>
        <v>11480.000000000002</v>
      </c>
      <c r="R737" s="208"/>
      <c r="S737" s="210"/>
      <c r="T737" s="208"/>
      <c r="U737" s="210"/>
      <c r="V737" s="208"/>
      <c r="W737" s="210"/>
      <c r="X737" s="191"/>
      <c r="AB737" s="195" t="str">
        <f>C737</f>
        <v>Premium</v>
      </c>
      <c r="AC737" s="219">
        <v>10550</v>
      </c>
      <c r="AD737" s="219">
        <v>11480</v>
      </c>
      <c r="AE737" s="219">
        <v>11480</v>
      </c>
      <c r="AF737" s="219">
        <v>11480</v>
      </c>
      <c r="AG737" s="219">
        <v>11480</v>
      </c>
      <c r="AH737" s="219">
        <v>11480</v>
      </c>
      <c r="AI737" s="219">
        <v>11480</v>
      </c>
      <c r="AJ737" s="1"/>
      <c r="AK737" s="1"/>
      <c r="AL737" s="1"/>
      <c r="AM737" s="1"/>
      <c r="AN737" s="1"/>
      <c r="AO737" s="1"/>
      <c r="AP737" s="1"/>
      <c r="AQ737" s="1"/>
      <c r="AR737" s="192"/>
      <c r="AS737" s="192"/>
      <c r="AT737" s="192"/>
    </row>
    <row r="738" spans="1:46" x14ac:dyDescent="0.25">
      <c r="B738" s="187"/>
      <c r="C738" s="1"/>
      <c r="D738" s="186"/>
      <c r="E738" s="186"/>
      <c r="F738" s="186"/>
      <c r="G738" s="186"/>
      <c r="H738" s="186"/>
      <c r="I738" s="186"/>
      <c r="J738" s="186"/>
      <c r="K738" s="186"/>
      <c r="L738" s="186"/>
      <c r="M738" s="200"/>
      <c r="N738" s="186"/>
      <c r="O738" s="186"/>
      <c r="P738" s="186"/>
      <c r="Q738" s="186"/>
      <c r="R738" s="186"/>
      <c r="S738" s="186"/>
      <c r="T738" s="186"/>
      <c r="U738" s="186"/>
      <c r="V738" s="186"/>
      <c r="W738" s="186"/>
      <c r="X738" s="186"/>
    </row>
    <row r="739" spans="1:46" x14ac:dyDescent="0.25">
      <c r="B739" s="211" t="str">
        <f>IF($C$1="ENG","For additonal charge:","Послуги за додаткову плату:")</f>
        <v>Послуги за додаткову плату:</v>
      </c>
      <c r="C739" s="212"/>
      <c r="D739" s="213"/>
      <c r="E739" s="214" t="str">
        <f>CONCATENATE(B733," ",C733)</f>
        <v>ЦІНА з ПДВ</v>
      </c>
      <c r="F739" s="215"/>
      <c r="G739" s="215"/>
      <c r="H739" s="215"/>
      <c r="I739" s="215"/>
      <c r="J739" s="215"/>
      <c r="K739" s="215"/>
      <c r="L739" s="215"/>
      <c r="M739" s="215"/>
      <c r="N739" s="215"/>
      <c r="O739" s="215"/>
      <c r="P739" s="215"/>
      <c r="Q739" s="215"/>
      <c r="R739" s="215"/>
      <c r="S739" s="215"/>
      <c r="T739" s="215"/>
      <c r="U739" s="215"/>
      <c r="V739" s="215"/>
      <c r="W739" s="215"/>
      <c r="X739" s="186"/>
    </row>
    <row r="740" spans="1:46" x14ac:dyDescent="0.25">
      <c r="B740" s="187"/>
      <c r="C740" s="1"/>
      <c r="D740" s="186"/>
      <c r="E740" s="186"/>
      <c r="F740" s="186"/>
      <c r="G740" s="186"/>
      <c r="H740" s="186"/>
      <c r="I740" s="186"/>
      <c r="J740" s="186"/>
      <c r="K740" s="186"/>
      <c r="L740" s="186"/>
      <c r="M740" s="186"/>
      <c r="N740" s="186"/>
      <c r="O740" s="186"/>
      <c r="P740" s="186"/>
      <c r="Q740" s="186"/>
      <c r="R740" s="186"/>
      <c r="S740" s="186"/>
      <c r="T740" s="186"/>
      <c r="U740" s="186"/>
      <c r="V740" s="186"/>
      <c r="W740" s="186"/>
      <c r="X740" s="186"/>
    </row>
    <row r="741" spans="1:46" ht="15" customHeight="1" x14ac:dyDescent="0.25">
      <c r="B741" s="224"/>
      <c r="C741" s="223" t="str">
        <f>IF($C$1="ENG","glazing Triplex mat / black","скло Триплекс матовий / чорний")</f>
        <v>скло Триплекс матовий / чорний</v>
      </c>
      <c r="D741" s="236">
        <f>IF(AC741="","",(1-$W$2)*(AC741/1.2))</f>
        <v>1291.6666666666667</v>
      </c>
      <c r="E741" s="227">
        <f>IF($W$5=0.2,D741*1.2,D741)/$W$4</f>
        <v>1550</v>
      </c>
      <c r="F741" s="191"/>
      <c r="G741" s="229"/>
      <c r="H741" s="224"/>
      <c r="I741" s="223" t="str">
        <f>IF($C$1="ENG","door lock Soft","замок Soft")</f>
        <v>замок Soft</v>
      </c>
      <c r="J741" s="238">
        <f>IF(AF741="","",(1-$W$2)*(AF741/1.2))</f>
        <v>525</v>
      </c>
      <c r="K741" s="227">
        <f>IF($W$5=0.2,J741*1.2,J741)/$W$4</f>
        <v>630</v>
      </c>
      <c r="L741" s="191"/>
      <c r="M741" s="229"/>
      <c r="N741" s="224"/>
      <c r="O741" s="223" t="str">
        <f>IF($C$1="ENG","cylinder incert","циліндр несиметричний")</f>
        <v>циліндр несиметричний</v>
      </c>
      <c r="P741" s="236">
        <f>IF(AI741="","",(1-$W$2)*(AI741/1.2))</f>
        <v>375</v>
      </c>
      <c r="Q741" s="227">
        <f>IF($W$5=0.2,P741*1.2,P741)/$W$4</f>
        <v>450</v>
      </c>
      <c r="R741" s="186"/>
      <c r="S741" s="186"/>
      <c r="T741" s="186"/>
      <c r="U741" s="186"/>
      <c r="V741" s="186"/>
      <c r="W741" s="186"/>
      <c r="X741" s="186"/>
      <c r="AC741" s="218">
        <v>1550</v>
      </c>
      <c r="AF741" s="218">
        <v>630</v>
      </c>
      <c r="AI741" s="218">
        <v>450</v>
      </c>
    </row>
    <row r="742" spans="1:46" ht="15" customHeight="1" x14ac:dyDescent="0.25">
      <c r="B742" s="225"/>
      <c r="C742" s="222" t="str">
        <f>IF($C$1="ENG","glazing Graphite / Bronze","скло Графіт / Бронза")</f>
        <v>скло Графіт / Бронза</v>
      </c>
      <c r="D742" s="237">
        <f>IF(AC742="","",(1-$W$2)*(AC742/1.2))</f>
        <v>883.33333333333337</v>
      </c>
      <c r="E742" s="228">
        <f>IF($W$5=0.2,D742*1.2,D742)/$W$4</f>
        <v>1060</v>
      </c>
      <c r="F742" s="191"/>
      <c r="G742" s="230"/>
      <c r="H742" s="225"/>
      <c r="I742" s="222" t="str">
        <f>IF($C$1="ENG","door lock Soft black","замок Soft чорн.")</f>
        <v>замок Soft чорн.</v>
      </c>
      <c r="J742" s="239">
        <f>IF(AF742="","",(1-$W$2)*(AF742/1.2))</f>
        <v>650</v>
      </c>
      <c r="K742" s="228">
        <f>IF($W$5=0.2,J742*1.2,J742)/$W$4</f>
        <v>780</v>
      </c>
      <c r="L742" s="191"/>
      <c r="M742" s="230"/>
      <c r="N742" s="225"/>
      <c r="O742" s="222" t="str">
        <f>IF($C$1="ENG","door hindge Prestige (1 unit)","завіса Prestige (1 шт)")</f>
        <v>завіса Prestige (1 шт)</v>
      </c>
      <c r="P742" s="240">
        <f>IF(AI742="","",(1-$W$2)*(AI742/1.2))</f>
        <v>250</v>
      </c>
      <c r="Q742" s="228">
        <f>IF($W$5=0.2,P742*1.2,P742)/$W$4</f>
        <v>300</v>
      </c>
      <c r="R742" s="186"/>
      <c r="S742" s="186"/>
      <c r="T742" s="186"/>
      <c r="U742" s="186"/>
      <c r="V742" s="186"/>
      <c r="W742" s="186"/>
      <c r="X742" s="186"/>
      <c r="AC742" s="218">
        <v>1060</v>
      </c>
      <c r="AF742" s="218">
        <v>780</v>
      </c>
      <c r="AI742" s="218">
        <v>300</v>
      </c>
    </row>
    <row r="743" spans="1:46" ht="15" customHeight="1" x14ac:dyDescent="0.25">
      <c r="C743" s="1"/>
      <c r="F743" s="191"/>
      <c r="G743" s="230"/>
      <c r="H743" s="225"/>
      <c r="I743" s="222" t="str">
        <f>IF($C$1="ENG","door lock Magnet","замок Magnet")</f>
        <v>замок Magnet</v>
      </c>
      <c r="J743" s="239">
        <f>IF(AF743="","",(1-$W$2)*(AF743/1.2))</f>
        <v>766.66666666666674</v>
      </c>
      <c r="K743" s="228">
        <f>IF($W$5=0.2,J743*1.2,J743)/$W$4</f>
        <v>920.00000000000011</v>
      </c>
      <c r="L743" s="191"/>
      <c r="M743" s="230"/>
      <c r="N743" s="225"/>
      <c r="O743" s="222" t="str">
        <f>IF($C$1="ENG","door hinge caps (1 set)","накладка на завіси (1 к-т)")</f>
        <v>накладка на завіси (1 к-т)</v>
      </c>
      <c r="P743" s="240">
        <f>IF(AI743="","",(1-$W$2)*(AI743/1.2))</f>
        <v>75</v>
      </c>
      <c r="Q743" s="228">
        <f>IF($W$5=0.2,P743*1.2,P743)/$W$4</f>
        <v>90</v>
      </c>
      <c r="R743" s="186"/>
      <c r="S743" s="186"/>
      <c r="T743" s="186"/>
      <c r="U743" s="186"/>
      <c r="V743" s="186"/>
      <c r="W743" s="186"/>
      <c r="X743" s="186"/>
      <c r="AF743" s="218">
        <v>920</v>
      </c>
      <c r="AI743" s="218">
        <v>90</v>
      </c>
    </row>
    <row r="744" spans="1:46" s="8" customFormat="1" ht="15" customHeight="1" x14ac:dyDescent="0.25">
      <c r="B744" s="1"/>
      <c r="C744" s="1"/>
      <c r="D744" s="1"/>
      <c r="E744" s="1"/>
      <c r="F744" s="184"/>
      <c r="G744" s="231"/>
      <c r="H744" s="226"/>
      <c r="I744" s="222" t="str">
        <f>IF($C$1="ENG","door lock Magnet black","замок Magnet чорн.")</f>
        <v>замок Magnet чорн.</v>
      </c>
      <c r="J744" s="239">
        <f>IF(AF744="","",(1-$W$2)*(AF744/1.2))</f>
        <v>958.33333333333337</v>
      </c>
      <c r="K744" s="228">
        <f>IF($W$5=0.2,J744*1.2,J744)/$W$4</f>
        <v>1150</v>
      </c>
      <c r="L744" s="220"/>
      <c r="M744" s="233"/>
      <c r="N744" s="226"/>
      <c r="O744" s="222" t="str">
        <f>IF($C$1="ENG","door handle","дверна ручка")</f>
        <v>дверна ручка</v>
      </c>
      <c r="P744" s="237">
        <f>IF(AI744="","",(1-$W$2)*(AI744/1.2))</f>
        <v>0</v>
      </c>
      <c r="Q744" s="235" t="str">
        <f>IF($C$1="ENG","see Handles Price","див. Таблицю Ручки")</f>
        <v>див. Таблицю Ручки</v>
      </c>
      <c r="AC744" s="1"/>
      <c r="AF744" s="218">
        <v>1150</v>
      </c>
      <c r="AI744" s="218">
        <v>0</v>
      </c>
      <c r="AN744" s="123"/>
      <c r="AO744" s="123"/>
      <c r="AP744" s="123"/>
      <c r="AQ744" s="123"/>
      <c r="AR744" s="123"/>
      <c r="AS744" s="123"/>
      <c r="AT744" s="123"/>
    </row>
    <row r="745" spans="1:46" x14ac:dyDescent="0.25">
      <c r="C745" s="110"/>
      <c r="D745" s="21"/>
      <c r="E745" s="21"/>
      <c r="F745" s="21"/>
      <c r="G745" s="21"/>
      <c r="H745" s="5"/>
    </row>
    <row r="746" spans="1:46" x14ac:dyDescent="0.25">
      <c r="A746" s="8"/>
      <c r="B746" s="83"/>
      <c r="C746" s="162"/>
      <c r="D746" s="10"/>
      <c r="E746" s="10"/>
      <c r="F746" s="10"/>
      <c r="G746" s="10"/>
      <c r="H746" s="10"/>
      <c r="I746" s="8"/>
      <c r="J746" s="8"/>
      <c r="K746" s="8"/>
      <c r="L746" s="8"/>
      <c r="M746" s="11"/>
      <c r="P746" s="8"/>
      <c r="Q746" s="11"/>
    </row>
    <row r="747" spans="1:46" x14ac:dyDescent="0.25">
      <c r="C747" s="110"/>
      <c r="D747" s="21"/>
      <c r="E747" s="21"/>
      <c r="F747" s="21"/>
      <c r="G747" s="21"/>
      <c r="H747" s="5"/>
    </row>
    <row r="748" spans="1:46" x14ac:dyDescent="0.25">
      <c r="C748" s="110"/>
      <c r="D748" s="21"/>
      <c r="E748" s="21"/>
      <c r="F748" s="21"/>
      <c r="G748" s="21"/>
      <c r="H748" s="5"/>
    </row>
    <row r="749" spans="1:46" s="8" customFormat="1" ht="24.9" customHeight="1" x14ac:dyDescent="0.25">
      <c r="B749" s="246" t="str">
        <f>TITLE!$C$32</f>
        <v>Полотна скляні: GLASSFORD</v>
      </c>
      <c r="C749" s="244"/>
      <c r="D749" s="245"/>
      <c r="E749" s="245"/>
      <c r="F749" s="216"/>
      <c r="G749" s="216"/>
      <c r="H749" s="216"/>
      <c r="I749" s="217"/>
      <c r="J749" s="217"/>
      <c r="K749" s="217"/>
      <c r="L749" s="217"/>
      <c r="M749" s="217"/>
      <c r="N749" s="217"/>
      <c r="O749" s="217"/>
      <c r="P749" s="217"/>
      <c r="Q749" s="217"/>
      <c r="R749" s="217"/>
      <c r="S749" s="217"/>
      <c r="T749" s="217"/>
      <c r="U749" s="217"/>
      <c r="V749" s="217"/>
      <c r="W749" s="217"/>
      <c r="X749" s="185"/>
      <c r="AE749" s="8">
        <f>AD749/100*12+AD749</f>
        <v>0</v>
      </c>
      <c r="AF749" s="8" t="e">
        <f>AE749/AD749-1</f>
        <v>#DIV/0!</v>
      </c>
      <c r="AN749" s="123"/>
      <c r="AO749" s="123"/>
      <c r="AP749" s="123"/>
      <c r="AQ749" s="123"/>
      <c r="AR749" s="123"/>
      <c r="AS749" s="123"/>
      <c r="AT749" s="123"/>
    </row>
    <row r="750" spans="1:46" s="8" customFormat="1" x14ac:dyDescent="0.25">
      <c r="B750" s="83"/>
      <c r="C750" s="162"/>
      <c r="D750" s="247"/>
      <c r="E750" s="247"/>
      <c r="F750" s="247"/>
      <c r="G750" s="247"/>
      <c r="H750" s="10"/>
      <c r="I750" s="264"/>
      <c r="J750" s="10"/>
      <c r="K750" s="264"/>
      <c r="L750" s="10"/>
      <c r="M750" s="264"/>
      <c r="N750" s="10"/>
      <c r="O750" s="264"/>
      <c r="P750" s="10"/>
      <c r="Q750" s="264"/>
      <c r="T750" s="90"/>
      <c r="U750" s="90"/>
      <c r="V750" s="90"/>
      <c r="W750" s="90"/>
      <c r="AN750" s="123"/>
      <c r="AO750" s="123"/>
      <c r="AP750" s="123"/>
      <c r="AQ750" s="123"/>
      <c r="AR750" s="123"/>
      <c r="AS750" s="123"/>
      <c r="AT750" s="123"/>
    </row>
    <row r="751" spans="1:46" x14ac:dyDescent="0.25">
      <c r="B751" s="186"/>
      <c r="C751" s="193" t="str">
        <f>IF($C$1="ENG","model:","модель:")</f>
        <v>модель:</v>
      </c>
      <c r="D751" s="186"/>
      <c r="E751" s="196">
        <v>1</v>
      </c>
      <c r="F751" s="188"/>
      <c r="G751" s="196">
        <v>2</v>
      </c>
      <c r="H751" s="188"/>
      <c r="I751" s="196">
        <v>3</v>
      </c>
      <c r="J751" s="188"/>
      <c r="K751" s="196">
        <v>4</v>
      </c>
      <c r="L751" s="188"/>
      <c r="M751" s="196">
        <v>5</v>
      </c>
      <c r="N751" s="265"/>
      <c r="O751" s="248"/>
      <c r="P751" s="248"/>
      <c r="Q751" s="248"/>
      <c r="R751" s="186"/>
      <c r="S751" s="186"/>
      <c r="T751" s="186"/>
      <c r="U751" s="186"/>
      <c r="V751" s="186"/>
      <c r="W751" s="186"/>
      <c r="X751" s="186"/>
    </row>
    <row r="752" spans="1:46" x14ac:dyDescent="0.25">
      <c r="B752" s="186"/>
      <c r="C752" s="187"/>
      <c r="D752" s="186"/>
      <c r="E752" s="197"/>
      <c r="F752" s="186"/>
      <c r="G752" s="197"/>
      <c r="H752" s="186"/>
      <c r="I752" s="197"/>
      <c r="J752" s="186"/>
      <c r="K752" s="197"/>
      <c r="L752" s="186"/>
      <c r="M752" s="197"/>
      <c r="N752" s="266"/>
      <c r="O752" s="200"/>
      <c r="P752" s="200"/>
      <c r="Q752" s="200"/>
      <c r="R752" s="186"/>
      <c r="S752" s="186"/>
      <c r="T752" s="186"/>
      <c r="U752" s="186"/>
      <c r="V752" s="186"/>
      <c r="W752" s="186"/>
      <c r="X752" s="186"/>
    </row>
    <row r="753" spans="2:46" x14ac:dyDescent="0.25">
      <c r="B753" s="186"/>
      <c r="C753" s="187"/>
      <c r="D753" s="186"/>
      <c r="E753" s="197"/>
      <c r="F753" s="186"/>
      <c r="G753" s="197"/>
      <c r="H753" s="186"/>
      <c r="I753" s="197"/>
      <c r="J753" s="186"/>
      <c r="K753" s="197"/>
      <c r="L753" s="186"/>
      <c r="M753" s="197"/>
      <c r="N753" s="266"/>
      <c r="O753" s="200"/>
      <c r="P753" s="200"/>
      <c r="Q753" s="200"/>
      <c r="R753" s="186"/>
      <c r="S753" s="186"/>
      <c r="T753" s="186"/>
      <c r="U753" s="186"/>
      <c r="V753" s="186"/>
      <c r="W753" s="186"/>
      <c r="X753" s="186"/>
    </row>
    <row r="754" spans="2:46" x14ac:dyDescent="0.25">
      <c r="B754" s="186"/>
      <c r="C754" s="187"/>
      <c r="D754" s="186"/>
      <c r="E754" s="197"/>
      <c r="F754" s="186"/>
      <c r="G754" s="197"/>
      <c r="H754" s="186"/>
      <c r="I754" s="197"/>
      <c r="J754" s="186"/>
      <c r="K754" s="197"/>
      <c r="L754" s="186"/>
      <c r="M754" s="197"/>
      <c r="N754" s="266"/>
      <c r="O754" s="200"/>
      <c r="P754" s="200"/>
      <c r="Q754" s="200"/>
      <c r="R754" s="186"/>
      <c r="S754" s="186"/>
      <c r="T754" s="186"/>
      <c r="U754" s="186"/>
      <c r="V754" s="186"/>
      <c r="W754" s="186"/>
      <c r="X754" s="186"/>
    </row>
    <row r="755" spans="2:46" x14ac:dyDescent="0.25">
      <c r="B755" s="186"/>
      <c r="C755" s="187"/>
      <c r="D755" s="186"/>
      <c r="E755" s="197"/>
      <c r="F755" s="186"/>
      <c r="G755" s="197"/>
      <c r="H755" s="186"/>
      <c r="I755" s="197"/>
      <c r="J755" s="186"/>
      <c r="K755" s="197"/>
      <c r="L755" s="186"/>
      <c r="M755" s="197"/>
      <c r="N755" s="266"/>
      <c r="O755" s="200"/>
      <c r="P755" s="200"/>
      <c r="Q755" s="200"/>
      <c r="R755" s="186"/>
      <c r="S755" s="186"/>
      <c r="T755" s="186"/>
      <c r="U755" s="186"/>
      <c r="V755" s="186"/>
      <c r="W755" s="186"/>
      <c r="X755" s="186"/>
    </row>
    <row r="756" spans="2:46" x14ac:dyDescent="0.25">
      <c r="B756" s="186"/>
      <c r="C756" s="187"/>
      <c r="D756" s="186"/>
      <c r="E756" s="197"/>
      <c r="F756" s="186"/>
      <c r="G756" s="197"/>
      <c r="H756" s="186"/>
      <c r="I756" s="197"/>
      <c r="J756" s="186"/>
      <c r="K756" s="197"/>
      <c r="L756" s="186"/>
      <c r="M756" s="197"/>
      <c r="N756" s="266"/>
      <c r="O756" s="200"/>
      <c r="P756" s="200"/>
      <c r="Q756" s="200"/>
      <c r="R756" s="186"/>
      <c r="S756" s="186"/>
      <c r="T756" s="186"/>
      <c r="U756" s="186"/>
      <c r="V756" s="186"/>
      <c r="W756" s="186"/>
      <c r="X756" s="186"/>
    </row>
    <row r="757" spans="2:46" x14ac:dyDescent="0.25">
      <c r="B757" s="186"/>
      <c r="C757" s="187"/>
      <c r="D757" s="186"/>
      <c r="E757" s="197"/>
      <c r="F757" s="186"/>
      <c r="G757" s="197"/>
      <c r="H757" s="186"/>
      <c r="I757" s="197"/>
      <c r="J757" s="186"/>
      <c r="K757" s="197"/>
      <c r="L757" s="186"/>
      <c r="M757" s="197"/>
      <c r="N757" s="266"/>
      <c r="O757" s="200"/>
      <c r="P757" s="200"/>
      <c r="Q757" s="200"/>
      <c r="R757" s="186"/>
      <c r="S757" s="186"/>
      <c r="T757" s="186"/>
      <c r="U757" s="186"/>
      <c r="V757" s="186"/>
      <c r="W757" s="186"/>
      <c r="X757" s="186"/>
    </row>
    <row r="758" spans="2:46" x14ac:dyDescent="0.25">
      <c r="B758" s="186"/>
      <c r="C758" s="187"/>
      <c r="D758" s="186"/>
      <c r="E758" s="197"/>
      <c r="F758" s="186"/>
      <c r="G758" s="197"/>
      <c r="H758" s="186"/>
      <c r="I758" s="197"/>
      <c r="J758" s="186"/>
      <c r="K758" s="197"/>
      <c r="L758" s="186"/>
      <c r="M758" s="197"/>
      <c r="N758" s="266"/>
      <c r="O758" s="200"/>
      <c r="P758" s="200"/>
      <c r="Q758" s="200"/>
      <c r="R758" s="186"/>
      <c r="S758" s="186"/>
      <c r="T758" s="186"/>
      <c r="U758" s="186"/>
      <c r="V758" s="186"/>
      <c r="W758" s="186"/>
      <c r="X758" s="186"/>
    </row>
    <row r="759" spans="2:46" x14ac:dyDescent="0.25">
      <c r="B759" s="186"/>
      <c r="C759" s="1"/>
      <c r="D759" s="186"/>
      <c r="E759" s="197"/>
      <c r="F759" s="186"/>
      <c r="G759" s="197"/>
      <c r="H759" s="186"/>
      <c r="I759" s="197"/>
      <c r="J759" s="186"/>
      <c r="K759" s="197"/>
      <c r="L759" s="186"/>
      <c r="M759" s="197"/>
      <c r="N759" s="266"/>
      <c r="O759" s="200"/>
      <c r="P759" s="200"/>
      <c r="Q759" s="200"/>
      <c r="R759" s="186"/>
      <c r="S759" s="186"/>
      <c r="T759" s="186"/>
      <c r="U759" s="186"/>
      <c r="V759" s="186"/>
      <c r="W759" s="186"/>
      <c r="X759" s="186"/>
    </row>
    <row r="760" spans="2:46" x14ac:dyDescent="0.25">
      <c r="B760" s="186"/>
      <c r="C760" s="187" t="str">
        <f>IF($C$1="ENG","glazing:","скління:")</f>
        <v>скління:</v>
      </c>
      <c r="D760" s="186"/>
      <c r="E760" s="198" t="str">
        <f>IF($C$1="ENG","Satin","Сатин")</f>
        <v>Сатин</v>
      </c>
      <c r="F760" s="189"/>
      <c r="G760" s="198" t="str">
        <f>IF($C$1="ENG","Satin+drawing","Сатин+малюнок")</f>
        <v>Сатин+малюнок</v>
      </c>
      <c r="H760" s="189"/>
      <c r="I760" s="198" t="str">
        <f>IF($C$1="ENG","Satin+drawing","Сатин+малюнок")</f>
        <v>Сатин+малюнок</v>
      </c>
      <c r="J760" s="189"/>
      <c r="K760" s="198" t="str">
        <f>IF($C$1="ENG","Satin+drawing","Сатин+малюнок")</f>
        <v>Сатин+малюнок</v>
      </c>
      <c r="L760" s="189"/>
      <c r="M760" s="198" t="str">
        <f>IF($C$1="ENG","Satin+drawing","Сатин+малюнок")</f>
        <v>Сатин+малюнок</v>
      </c>
      <c r="N760" s="267"/>
      <c r="O760" s="249"/>
      <c r="P760" s="249"/>
      <c r="Q760" s="249"/>
      <c r="R760" s="186"/>
      <c r="S760" s="186"/>
      <c r="T760" s="186"/>
      <c r="U760" s="186"/>
      <c r="V760" s="186"/>
      <c r="W760" s="186"/>
      <c r="X760" s="186"/>
    </row>
    <row r="761" spans="2:46" x14ac:dyDescent="0.25">
      <c r="D761" s="199"/>
      <c r="E761" s="197"/>
      <c r="F761" s="200"/>
      <c r="G761" s="197"/>
      <c r="H761" s="200"/>
      <c r="I761" s="197"/>
      <c r="J761" s="200"/>
      <c r="K761" s="197"/>
      <c r="L761" s="200"/>
      <c r="M761" s="197"/>
      <c r="N761" s="266"/>
      <c r="O761" s="200"/>
      <c r="P761" s="200"/>
      <c r="Q761" s="200"/>
      <c r="R761" s="200"/>
      <c r="S761" s="200"/>
      <c r="T761" s="200"/>
      <c r="U761" s="200"/>
      <c r="V761" s="200"/>
      <c r="W761" s="200"/>
      <c r="X761" s="186"/>
    </row>
    <row r="762" spans="2:46" s="190" customFormat="1" ht="15" customHeight="1" x14ac:dyDescent="0.25">
      <c r="B762" s="241" t="str">
        <f>IF($C$1="ENG","PRICE","ЦІНА")</f>
        <v>ЦІНА</v>
      </c>
      <c r="C762" s="242" t="str">
        <f>IF($C$1="ENG",IF($W$5=0.2,"with VAT","no VAT"),IF($W$5=0.2,"з ПДВ","без ПДВ"))</f>
        <v>з ПДВ</v>
      </c>
      <c r="D762" s="191"/>
      <c r="E762" s="243"/>
      <c r="F762" s="191"/>
      <c r="G762" s="243"/>
      <c r="H762" s="191"/>
      <c r="I762" s="243"/>
      <c r="J762" s="191"/>
      <c r="K762" s="243"/>
      <c r="L762" s="191"/>
      <c r="M762" s="243"/>
      <c r="N762" s="268"/>
      <c r="O762" s="194"/>
      <c r="P762" s="250"/>
      <c r="Q762" s="194"/>
      <c r="R762" s="191"/>
      <c r="S762" s="191"/>
      <c r="T762" s="191"/>
      <c r="U762" s="191"/>
      <c r="V762" s="191"/>
      <c r="W762" s="191"/>
      <c r="X762" s="191"/>
      <c r="AN762" s="192"/>
      <c r="AO762" s="192"/>
      <c r="AP762" s="192"/>
      <c r="AQ762" s="192"/>
      <c r="AR762" s="192"/>
      <c r="AS762" s="192"/>
      <c r="AT762" s="192"/>
    </row>
    <row r="763" spans="2:46" s="190" customFormat="1" ht="24.9" customHeight="1" x14ac:dyDescent="0.25">
      <c r="B763" s="259"/>
      <c r="C763" s="288" t="str">
        <f>IF($C$1="ENG","tempered glass","гартоване скло")</f>
        <v>гартоване скло</v>
      </c>
      <c r="D763" s="260">
        <f>IF(AC763="","",(1-$W$2)*(AC763/1.2))</f>
        <v>15125</v>
      </c>
      <c r="E763" s="261">
        <f>IF($W$5=0.2,D763*1.2,D763)/$W$4</f>
        <v>18150</v>
      </c>
      <c r="F763" s="260">
        <f>IF(AD763="","",(1-$W$2)*(AD763/1.2))</f>
        <v>15816.666666666668</v>
      </c>
      <c r="G763" s="261">
        <f>IF($W$5=0.2,F763*1.2,F763)/$W$4</f>
        <v>18980</v>
      </c>
      <c r="H763" s="260">
        <f>IF(AE763="","",(1-$W$2)*(AE763/1.2))</f>
        <v>15816.666666666668</v>
      </c>
      <c r="I763" s="261">
        <f>IF($W$5=0.2,H763*1.2,H763)/$W$4</f>
        <v>18980</v>
      </c>
      <c r="J763" s="260">
        <f>IF(AF763="","",(1-$W$2)*(AF763/1.2))</f>
        <v>15816.666666666668</v>
      </c>
      <c r="K763" s="261">
        <f>IF($W$5=0.2,J763*1.2,J763)/$W$4</f>
        <v>18980</v>
      </c>
      <c r="L763" s="260">
        <f>IF(AG763="","",(1-$W$2)*(AG763/1.2))</f>
        <v>15816.666666666668</v>
      </c>
      <c r="M763" s="261">
        <f>IF($W$5=0.2,L763*1.2,L763)/$W$4</f>
        <v>18980</v>
      </c>
      <c r="N763" s="287"/>
      <c r="O763" s="262"/>
      <c r="P763" s="260"/>
      <c r="Q763" s="262"/>
      <c r="R763" s="260"/>
      <c r="S763" s="262"/>
      <c r="T763" s="260"/>
      <c r="U763" s="262"/>
      <c r="V763" s="260"/>
      <c r="W763" s="262"/>
      <c r="X763" s="191"/>
      <c r="AB763" s="195" t="str">
        <f>C763</f>
        <v>гартоване скло</v>
      </c>
      <c r="AC763" s="219">
        <v>18150</v>
      </c>
      <c r="AD763" s="219">
        <v>18980</v>
      </c>
      <c r="AE763" s="219">
        <v>18980</v>
      </c>
      <c r="AF763" s="219">
        <v>18980</v>
      </c>
      <c r="AG763" s="219">
        <v>18980</v>
      </c>
      <c r="AH763" s="219"/>
      <c r="AI763" s="1"/>
      <c r="AJ763" s="1"/>
      <c r="AN763" s="192"/>
      <c r="AO763" s="192"/>
      <c r="AP763" s="192"/>
      <c r="AQ763" s="192"/>
      <c r="AR763" s="192"/>
      <c r="AS763" s="192"/>
      <c r="AT763" s="192"/>
    </row>
    <row r="764" spans="2:46" x14ac:dyDescent="0.25">
      <c r="B764" s="187"/>
      <c r="C764" s="1"/>
      <c r="D764" s="186"/>
      <c r="E764" s="186"/>
      <c r="F764" s="186"/>
      <c r="G764" s="186"/>
      <c r="H764" s="186"/>
      <c r="I764" s="186"/>
      <c r="J764" s="186"/>
      <c r="K764" s="186"/>
      <c r="L764" s="186"/>
      <c r="M764" s="200"/>
      <c r="N764" s="186"/>
      <c r="O764" s="186"/>
      <c r="P764" s="186"/>
      <c r="Q764" s="186"/>
      <c r="R764" s="186"/>
      <c r="S764" s="186"/>
      <c r="T764" s="186"/>
      <c r="U764" s="186"/>
      <c r="V764" s="186"/>
      <c r="W764" s="186"/>
      <c r="X764" s="186"/>
    </row>
    <row r="765" spans="2:46" x14ac:dyDescent="0.25">
      <c r="B765" s="211" t="str">
        <f>IF($C$1="ENG","For additonal charge:","Послуги за додаткову плату:")</f>
        <v>Послуги за додаткову плату:</v>
      </c>
      <c r="C765" s="212"/>
      <c r="D765" s="213"/>
      <c r="E765" s="214" t="str">
        <f>CONCATENATE(B762," ",C762)</f>
        <v>ЦІНА з ПДВ</v>
      </c>
      <c r="F765" s="215"/>
      <c r="G765" s="215"/>
      <c r="H765" s="215"/>
      <c r="I765" s="215"/>
      <c r="J765" s="215"/>
      <c r="K765" s="215"/>
      <c r="L765" s="215"/>
      <c r="M765" s="215"/>
      <c r="N765" s="215"/>
      <c r="O765" s="215"/>
      <c r="P765" s="215"/>
      <c r="Q765" s="215"/>
      <c r="R765" s="215"/>
      <c r="S765" s="215"/>
      <c r="T765" s="215"/>
      <c r="U765" s="215"/>
      <c r="V765" s="215"/>
      <c r="W765" s="215"/>
      <c r="X765" s="186"/>
    </row>
    <row r="766" spans="2:46" x14ac:dyDescent="0.25">
      <c r="B766" s="187"/>
      <c r="C766" s="1"/>
      <c r="D766" s="186"/>
      <c r="E766" s="186"/>
      <c r="F766" s="186"/>
      <c r="G766" s="186"/>
      <c r="H766" s="186"/>
      <c r="I766" s="186"/>
      <c r="J766" s="186"/>
      <c r="K766" s="186"/>
      <c r="L766" s="186"/>
      <c r="M766" s="186"/>
      <c r="N766" s="186"/>
      <c r="O766" s="186"/>
      <c r="P766" s="186"/>
      <c r="Q766" s="186"/>
      <c r="R766" s="186"/>
      <c r="S766" s="186"/>
      <c r="T766" s="186"/>
      <c r="U766" s="186"/>
      <c r="V766" s="186"/>
      <c r="W766" s="186"/>
      <c r="X766" s="186"/>
    </row>
    <row r="767" spans="2:46" ht="15" customHeight="1" x14ac:dyDescent="0.25">
      <c r="B767" s="224"/>
      <c r="C767" s="223" t="str">
        <f>IF($C$1="ENG","door leaf with width 100","полотно розміром 100")</f>
        <v>полотно розміром 100</v>
      </c>
      <c r="D767" s="236">
        <f>IF(AC767="","",(1-$W$2)*(AC767/1.2))</f>
        <v>3158.3333333333335</v>
      </c>
      <c r="E767" s="227">
        <f>IF($W$5=0.2,D767*1.2,D767)/$W$4</f>
        <v>3790</v>
      </c>
      <c r="F767" s="191"/>
      <c r="G767" s="229"/>
      <c r="H767" s="224"/>
      <c r="I767" s="223" t="str">
        <f>IF($C$1="ENG","door lock Glass regular key / cylinder","замок Glass під ключ / циліндр")</f>
        <v>замок Glass під ключ / циліндр</v>
      </c>
      <c r="J767" s="238">
        <f>IF(AF767="","",(1-$W$2)*(AF767/1.2))</f>
        <v>1191.6666666666667</v>
      </c>
      <c r="K767" s="227">
        <f>IF($W$5=0.2,J767*1.2,J767)/$W$4</f>
        <v>1430</v>
      </c>
      <c r="L767" s="191"/>
      <c r="M767" s="8"/>
      <c r="N767" s="8"/>
      <c r="O767" s="8"/>
      <c r="P767" s="8"/>
      <c r="Q767" s="8"/>
      <c r="R767" s="186"/>
      <c r="S767" s="186"/>
      <c r="T767" s="186"/>
      <c r="U767" s="186"/>
      <c r="V767" s="186"/>
      <c r="W767" s="186"/>
      <c r="X767" s="186"/>
      <c r="AC767" s="218">
        <v>3790</v>
      </c>
      <c r="AF767" s="218">
        <v>1430</v>
      </c>
      <c r="AI767" s="218"/>
    </row>
    <row r="768" spans="2:46" ht="15" customHeight="1" x14ac:dyDescent="0.25">
      <c r="B768" s="225"/>
      <c r="C768" s="222" t="str">
        <f>IF($C$1="ENG","glazing Triplex mat / black","скло Триплекс матовий / чорний")</f>
        <v>скло Триплекс матовий / чорний</v>
      </c>
      <c r="D768" s="237">
        <f>IF(AC768="","",(1-$W$2)*(AC768/1.2))</f>
        <v>1983.3333333333335</v>
      </c>
      <c r="E768" s="228">
        <f>IF($W$5=0.2,D768*1.2,D768)/$W$4</f>
        <v>2380</v>
      </c>
      <c r="F768" s="191"/>
      <c r="G768" s="230"/>
      <c r="H768" s="225"/>
      <c r="I768" s="222" t="str">
        <f>IF($C$1="ENG","door lock Glass bathroom lock","замок Glass сантехнічний")</f>
        <v>замок Glass сантехнічний</v>
      </c>
      <c r="J768" s="239">
        <f>IF(AF768="","",(1-$W$2)*(AF768/1.2))</f>
        <v>2816.666666666667</v>
      </c>
      <c r="K768" s="228">
        <f>IF($W$5=0.2,J768*1.2,J768)/$W$4</f>
        <v>3380.0000000000005</v>
      </c>
      <c r="L768" s="191"/>
      <c r="M768" s="8"/>
      <c r="N768" s="8"/>
      <c r="O768" s="8"/>
      <c r="P768" s="8"/>
      <c r="Q768" s="8"/>
      <c r="R768" s="186"/>
      <c r="S768" s="186"/>
      <c r="T768" s="186"/>
      <c r="U768" s="186"/>
      <c r="V768" s="186"/>
      <c r="W768" s="186"/>
      <c r="X768" s="186"/>
      <c r="AC768" s="218">
        <v>2380</v>
      </c>
      <c r="AF768" s="218">
        <v>3380</v>
      </c>
      <c r="AI768" s="218"/>
    </row>
    <row r="769" spans="2:46" ht="15" customHeight="1" x14ac:dyDescent="0.25">
      <c r="B769" s="225"/>
      <c r="C769" s="222" t="str">
        <f>IF($C$1="ENG","glazing Graphite / Bronze","скло Графіт / Бронза")</f>
        <v>скло Графіт / Бронза</v>
      </c>
      <c r="D769" s="237">
        <f>IF(AC769="","",(1-$W$2)*(AC769/1.2))</f>
        <v>1583.3333333333335</v>
      </c>
      <c r="E769" s="228">
        <f>IF($W$5=0.2,D769*1.2,D769)/$W$4</f>
        <v>1900</v>
      </c>
      <c r="F769" s="191"/>
      <c r="G769" s="8"/>
      <c r="H769" s="8"/>
      <c r="I769" s="8"/>
      <c r="J769" s="8"/>
      <c r="K769" s="8"/>
      <c r="L769" s="191"/>
      <c r="M769" s="8"/>
      <c r="N769" s="8"/>
      <c r="O769" s="8"/>
      <c r="P769" s="8"/>
      <c r="Q769" s="8"/>
      <c r="R769" s="186"/>
      <c r="S769" s="186"/>
      <c r="T769" s="186"/>
      <c r="U769" s="186"/>
      <c r="V769" s="186"/>
      <c r="W769" s="186"/>
      <c r="X769" s="186"/>
      <c r="AC769" s="218">
        <v>1900</v>
      </c>
      <c r="AF769" s="8"/>
      <c r="AI769" s="218"/>
    </row>
    <row r="770" spans="2:46" s="8" customFormat="1" ht="15" customHeight="1" x14ac:dyDescent="0.25">
      <c r="B770" s="225"/>
      <c r="C770" s="222" t="str">
        <f>IF($C$1="ENG","glazing Mirror","скло Дзеркало")</f>
        <v>скло Дзеркало</v>
      </c>
      <c r="D770" s="237">
        <f>IF(AC770="","",(1-$W$2)*(AC770/1.2))</f>
        <v>5175</v>
      </c>
      <c r="E770" s="228">
        <f>IF($W$5=0.2,D770*1.2,D770)/$W$4</f>
        <v>6210</v>
      </c>
      <c r="F770" s="184"/>
      <c r="L770" s="220"/>
      <c r="AC770" s="218">
        <v>6210</v>
      </c>
      <c r="AI770" s="218"/>
      <c r="AN770" s="123"/>
      <c r="AO770" s="123"/>
      <c r="AP770" s="123"/>
      <c r="AQ770" s="123"/>
      <c r="AR770" s="123"/>
      <c r="AS770" s="123"/>
      <c r="AT770" s="123"/>
    </row>
    <row r="771" spans="2:46" x14ac:dyDescent="0.25">
      <c r="C771" s="110"/>
      <c r="D771" s="21"/>
      <c r="E771" s="21"/>
      <c r="F771" s="21"/>
      <c r="G771" s="21"/>
      <c r="H771" s="5"/>
      <c r="M771" s="8"/>
      <c r="N771" s="8"/>
      <c r="O771" s="8"/>
      <c r="P771" s="8"/>
      <c r="Q771" s="8"/>
    </row>
    <row r="772" spans="2:46" s="8" customFormat="1" x14ac:dyDescent="0.25">
      <c r="C772" s="163"/>
      <c r="T772" s="82"/>
      <c r="U772" s="82"/>
      <c r="V772" s="82"/>
      <c r="W772" s="82"/>
      <c r="AN772" s="123"/>
      <c r="AO772" s="123"/>
      <c r="AP772" s="123"/>
      <c r="AQ772" s="123"/>
      <c r="AR772" s="123"/>
      <c r="AS772" s="123"/>
      <c r="AT772" s="123"/>
    </row>
    <row r="773" spans="2:46" s="8" customFormat="1" x14ac:dyDescent="0.25">
      <c r="C773" s="163"/>
      <c r="T773" s="82"/>
      <c r="U773" s="82"/>
      <c r="V773" s="82"/>
      <c r="W773" s="82"/>
      <c r="AN773" s="123"/>
      <c r="AO773" s="123"/>
      <c r="AP773" s="123"/>
      <c r="AQ773" s="123"/>
      <c r="AR773" s="123"/>
      <c r="AS773" s="123"/>
      <c r="AT773" s="123"/>
    </row>
    <row r="774" spans="2:46" s="8" customFormat="1" x14ac:dyDescent="0.25">
      <c r="C774" s="163"/>
      <c r="T774" s="82"/>
      <c r="U774" s="82"/>
      <c r="V774" s="82"/>
      <c r="W774" s="82"/>
      <c r="AN774" s="123"/>
      <c r="AO774" s="123"/>
      <c r="AP774" s="123"/>
      <c r="AQ774" s="123"/>
      <c r="AR774" s="123"/>
      <c r="AS774" s="123"/>
      <c r="AT774" s="123"/>
    </row>
    <row r="775" spans="2:46" s="8" customFormat="1" ht="24.9" customHeight="1" x14ac:dyDescent="0.25">
      <c r="B775" s="246" t="str">
        <f>TITLE!$C$33</f>
        <v>Полотна: ДОБОР LADA</v>
      </c>
      <c r="C775" s="244"/>
      <c r="D775" s="245"/>
      <c r="E775" s="245"/>
      <c r="F775" s="216"/>
      <c r="G775" s="216"/>
      <c r="H775" s="216"/>
      <c r="I775" s="217"/>
      <c r="J775" s="217"/>
      <c r="K775" s="217"/>
      <c r="L775" s="217"/>
      <c r="M775" s="217"/>
      <c r="N775" s="217"/>
      <c r="O775" s="217"/>
      <c r="P775" s="217"/>
      <c r="Q775" s="217"/>
      <c r="R775" s="217"/>
      <c r="S775" s="217"/>
      <c r="T775" s="217"/>
      <c r="U775" s="217"/>
      <c r="V775" s="217"/>
      <c r="W775" s="217"/>
      <c r="X775" s="185"/>
      <c r="AN775" s="123"/>
      <c r="AO775" s="123"/>
      <c r="AP775" s="123"/>
      <c r="AQ775" s="123"/>
      <c r="AR775" s="123"/>
      <c r="AS775" s="123"/>
      <c r="AT775" s="123"/>
    </row>
    <row r="776" spans="2:46" s="8" customFormat="1" x14ac:dyDescent="0.25">
      <c r="B776" s="83"/>
      <c r="C776" s="162"/>
      <c r="D776" s="247"/>
      <c r="E776" s="247"/>
      <c r="F776" s="247"/>
      <c r="G776" s="247"/>
      <c r="H776" s="10"/>
      <c r="I776" s="264"/>
      <c r="J776" s="10"/>
      <c r="K776" s="264"/>
      <c r="L776" s="10"/>
      <c r="M776" s="264"/>
      <c r="N776" s="10"/>
      <c r="O776" s="264"/>
      <c r="P776" s="10"/>
      <c r="Q776" s="264"/>
      <c r="T776" s="90"/>
      <c r="U776" s="90"/>
      <c r="V776" s="90"/>
      <c r="W776" s="90"/>
      <c r="AN776" s="123"/>
      <c r="AO776" s="123"/>
      <c r="AP776" s="123"/>
      <c r="AQ776" s="123"/>
      <c r="AR776" s="123"/>
      <c r="AS776" s="123"/>
      <c r="AT776" s="123"/>
    </row>
    <row r="777" spans="2:46" x14ac:dyDescent="0.25">
      <c r="B777" s="186"/>
      <c r="C777" s="193" t="str">
        <f>IF($C$1="ENG","model:","модель:")</f>
        <v>модель:</v>
      </c>
      <c r="D777" s="186"/>
      <c r="E777" s="196" t="s">
        <v>43</v>
      </c>
      <c r="F777" s="188"/>
      <c r="G777" s="196" t="s">
        <v>44</v>
      </c>
      <c r="H777" s="188"/>
      <c r="I777" s="196" t="s">
        <v>45</v>
      </c>
      <c r="J777" s="188"/>
      <c r="K777" s="196" t="s">
        <v>46</v>
      </c>
      <c r="L777" s="188"/>
      <c r="M777" s="196" t="s">
        <v>47</v>
      </c>
      <c r="N777" s="248"/>
      <c r="O777" s="248"/>
      <c r="P777" s="248"/>
      <c r="Q777" s="248"/>
      <c r="R777" s="186"/>
      <c r="S777" s="186"/>
      <c r="T777" s="186"/>
      <c r="U777" s="186"/>
      <c r="V777" s="186"/>
      <c r="W777" s="186"/>
      <c r="X777" s="186"/>
    </row>
    <row r="778" spans="2:46" x14ac:dyDescent="0.25">
      <c r="B778" s="186"/>
      <c r="C778" s="187"/>
      <c r="D778" s="186"/>
      <c r="E778" s="197"/>
      <c r="F778" s="186"/>
      <c r="G778" s="197"/>
      <c r="H778" s="186"/>
      <c r="I778" s="197"/>
      <c r="J778" s="186"/>
      <c r="K778" s="197"/>
      <c r="L778" s="186"/>
      <c r="M778" s="197"/>
      <c r="N778" s="200"/>
      <c r="O778" s="200"/>
      <c r="P778" s="200"/>
      <c r="Q778" s="200"/>
      <c r="R778" s="186"/>
      <c r="S778" s="186"/>
      <c r="T778" s="186"/>
      <c r="U778" s="186"/>
      <c r="V778" s="186"/>
      <c r="W778" s="186"/>
      <c r="X778" s="186"/>
    </row>
    <row r="779" spans="2:46" x14ac:dyDescent="0.25">
      <c r="B779" s="186"/>
      <c r="C779" s="187"/>
      <c r="D779" s="186"/>
      <c r="E779" s="197"/>
      <c r="F779" s="186"/>
      <c r="G779" s="197"/>
      <c r="H779" s="186"/>
      <c r="I779" s="197"/>
      <c r="J779" s="186"/>
      <c r="K779" s="197"/>
      <c r="L779" s="186"/>
      <c r="M779" s="197"/>
      <c r="N779" s="200"/>
      <c r="O779" s="200"/>
      <c r="P779" s="200"/>
      <c r="Q779" s="200"/>
      <c r="R779" s="186"/>
      <c r="S779" s="186"/>
      <c r="T779" s="186"/>
      <c r="U779" s="186"/>
      <c r="V779" s="186"/>
      <c r="W779" s="186"/>
      <c r="X779" s="186"/>
    </row>
    <row r="780" spans="2:46" x14ac:dyDescent="0.25">
      <c r="B780" s="186"/>
      <c r="C780" s="187"/>
      <c r="D780" s="186"/>
      <c r="E780" s="197"/>
      <c r="F780" s="186"/>
      <c r="G780" s="197"/>
      <c r="H780" s="186"/>
      <c r="I780" s="197"/>
      <c r="J780" s="186"/>
      <c r="K780" s="197"/>
      <c r="L780" s="186"/>
      <c r="M780" s="197"/>
      <c r="N780" s="200"/>
      <c r="O780" s="200"/>
      <c r="P780" s="200"/>
      <c r="Q780" s="200"/>
      <c r="R780" s="186"/>
      <c r="S780" s="186"/>
      <c r="T780" s="186"/>
      <c r="U780" s="186"/>
      <c r="V780" s="186"/>
      <c r="W780" s="186"/>
      <c r="X780" s="186"/>
    </row>
    <row r="781" spans="2:46" x14ac:dyDescent="0.25">
      <c r="B781" s="186"/>
      <c r="C781" s="187"/>
      <c r="D781" s="186"/>
      <c r="E781" s="197"/>
      <c r="F781" s="186"/>
      <c r="G781" s="197"/>
      <c r="H781" s="186"/>
      <c r="I781" s="197"/>
      <c r="J781" s="186"/>
      <c r="K781" s="197"/>
      <c r="L781" s="186"/>
      <c r="M781" s="197"/>
      <c r="N781" s="200"/>
      <c r="O781" s="200"/>
      <c r="P781" s="200"/>
      <c r="Q781" s="200"/>
      <c r="R781" s="186"/>
      <c r="S781" s="186"/>
      <c r="T781" s="186"/>
      <c r="U781" s="186"/>
      <c r="V781" s="186"/>
      <c r="W781" s="186"/>
      <c r="X781" s="186"/>
    </row>
    <row r="782" spans="2:46" x14ac:dyDescent="0.25">
      <c r="B782" s="186"/>
      <c r="C782" s="187"/>
      <c r="D782" s="186"/>
      <c r="E782" s="197"/>
      <c r="F782" s="186"/>
      <c r="G782" s="197"/>
      <c r="H782" s="186"/>
      <c r="I782" s="197"/>
      <c r="J782" s="186"/>
      <c r="K782" s="197"/>
      <c r="L782" s="186"/>
      <c r="M782" s="197"/>
      <c r="N782" s="200"/>
      <c r="O782" s="200"/>
      <c r="P782" s="200"/>
      <c r="Q782" s="200"/>
      <c r="R782" s="186"/>
      <c r="S782" s="186"/>
      <c r="T782" s="186"/>
      <c r="U782" s="186"/>
      <c r="V782" s="186"/>
      <c r="W782" s="186"/>
      <c r="X782" s="186"/>
    </row>
    <row r="783" spans="2:46" x14ac:dyDescent="0.25">
      <c r="B783" s="186"/>
      <c r="C783" s="187"/>
      <c r="D783" s="186"/>
      <c r="E783" s="197"/>
      <c r="F783" s="186"/>
      <c r="G783" s="197"/>
      <c r="H783" s="186"/>
      <c r="I783" s="197"/>
      <c r="J783" s="186"/>
      <c r="K783" s="197"/>
      <c r="L783" s="186"/>
      <c r="M783" s="197"/>
      <c r="N783" s="200"/>
      <c r="O783" s="200"/>
      <c r="P783" s="200"/>
      <c r="Q783" s="200"/>
      <c r="R783" s="186"/>
      <c r="S783" s="186"/>
      <c r="T783" s="186"/>
      <c r="U783" s="186"/>
      <c r="V783" s="186"/>
      <c r="W783" s="186"/>
      <c r="X783" s="186"/>
    </row>
    <row r="784" spans="2:46" x14ac:dyDescent="0.25">
      <c r="B784" s="186"/>
      <c r="C784" s="187"/>
      <c r="D784" s="186"/>
      <c r="E784" s="197"/>
      <c r="F784" s="186"/>
      <c r="G784" s="197"/>
      <c r="H784" s="186"/>
      <c r="I784" s="197"/>
      <c r="J784" s="186"/>
      <c r="K784" s="197"/>
      <c r="L784" s="186"/>
      <c r="M784" s="197"/>
      <c r="N784" s="200"/>
      <c r="O784" s="200"/>
      <c r="P784" s="200"/>
      <c r="Q784" s="200"/>
      <c r="R784" s="186"/>
      <c r="S784" s="186"/>
      <c r="T784" s="186"/>
      <c r="U784" s="186"/>
      <c r="V784" s="186"/>
      <c r="W784" s="186"/>
      <c r="X784" s="186"/>
    </row>
    <row r="785" spans="2:46" x14ac:dyDescent="0.25">
      <c r="B785" s="186"/>
      <c r="C785" s="1"/>
      <c r="D785" s="186"/>
      <c r="E785" s="197"/>
      <c r="F785" s="186"/>
      <c r="G785" s="197"/>
      <c r="H785" s="186"/>
      <c r="I785" s="197"/>
      <c r="J785" s="186"/>
      <c r="K785" s="197"/>
      <c r="L785" s="186"/>
      <c r="M785" s="197"/>
      <c r="N785" s="200"/>
      <c r="O785" s="200"/>
      <c r="P785" s="200"/>
      <c r="Q785" s="200"/>
      <c r="R785" s="186"/>
      <c r="S785" s="186"/>
      <c r="T785" s="186"/>
      <c r="U785" s="186"/>
      <c r="V785" s="186"/>
      <c r="W785" s="186"/>
      <c r="X785" s="186"/>
    </row>
    <row r="786" spans="2:46" x14ac:dyDescent="0.25">
      <c r="B786" s="186"/>
      <c r="C786" s="187" t="str">
        <f>IF($C$1="ENG","filling:","заповнення:")</f>
        <v>заповнення:</v>
      </c>
      <c r="D786" s="186"/>
      <c r="E786" s="198" t="str">
        <f>IF($C$1="ENG","softwood","клеєний брус")</f>
        <v>клеєний брус</v>
      </c>
      <c r="F786" s="189"/>
      <c r="G786" s="198" t="str">
        <f>IF($C$1="ENG","softwood","клеєний брус")</f>
        <v>клеєний брус</v>
      </c>
      <c r="H786" s="189"/>
      <c r="I786" s="198" t="str">
        <f>IF($C$1="ENG","softwood","клеєний брус")</f>
        <v>клеєний брус</v>
      </c>
      <c r="J786" s="189"/>
      <c r="K786" s="198" t="str">
        <f>IF($C$1="ENG","softwood","клеєний брус")</f>
        <v>клеєний брус</v>
      </c>
      <c r="L786" s="189"/>
      <c r="M786" s="198" t="str">
        <f>IF($C$1="ENG","softwood","клеєний брус")</f>
        <v>клеєний брус</v>
      </c>
      <c r="N786" s="249"/>
      <c r="O786" s="249"/>
      <c r="P786" s="249"/>
      <c r="Q786" s="249"/>
      <c r="R786" s="186"/>
      <c r="S786" s="186"/>
      <c r="T786" s="186"/>
      <c r="U786" s="186"/>
      <c r="V786" s="186"/>
      <c r="W786" s="186"/>
      <c r="X786" s="186"/>
    </row>
    <row r="787" spans="2:46" x14ac:dyDescent="0.25">
      <c r="B787" s="186"/>
      <c r="C787" s="187" t="str">
        <f>IF($C$1="ENG","glazing:","скління:")</f>
        <v>скління:</v>
      </c>
      <c r="D787" s="186"/>
      <c r="E787" s="198" t="str">
        <f>IF($C$1="ENG","Satin","Сатин")</f>
        <v>Сатин</v>
      </c>
      <c r="F787" s="189"/>
      <c r="G787" s="198" t="str">
        <f>IF($C$1="ENG","Satin","Сатин")</f>
        <v>Сатин</v>
      </c>
      <c r="H787" s="189"/>
      <c r="I787" s="198" t="str">
        <f>IF($C$1="ENG","Satin","Сатин")</f>
        <v>Сатин</v>
      </c>
      <c r="J787" s="189"/>
      <c r="K787" s="198" t="str">
        <f>IF($C$1="ENG","Satin","Сатин")</f>
        <v>Сатин</v>
      </c>
      <c r="L787" s="189"/>
      <c r="M787" s="198" t="str">
        <f>IF($C$1="ENG","Satin","Сатин")</f>
        <v>Сатин</v>
      </c>
      <c r="N787" s="249"/>
      <c r="O787" s="249"/>
      <c r="P787" s="249"/>
      <c r="Q787" s="249"/>
      <c r="R787" s="186"/>
      <c r="S787" s="186"/>
      <c r="T787" s="186"/>
      <c r="U787" s="186"/>
      <c r="V787" s="186"/>
      <c r="W787" s="186"/>
      <c r="X787" s="186"/>
    </row>
    <row r="788" spans="2:46" x14ac:dyDescent="0.25">
      <c r="D788" s="199"/>
      <c r="E788" s="197"/>
      <c r="F788" s="200"/>
      <c r="G788" s="197"/>
      <c r="H788" s="200"/>
      <c r="I788" s="197"/>
      <c r="J788" s="200"/>
      <c r="K788" s="197"/>
      <c r="L788" s="200"/>
      <c r="M788" s="197"/>
      <c r="N788" s="200"/>
      <c r="O788" s="200"/>
      <c r="P788" s="200"/>
      <c r="Q788" s="200"/>
      <c r="R788" s="200"/>
      <c r="S788" s="200"/>
      <c r="T788" s="200"/>
      <c r="U788" s="200"/>
      <c r="V788" s="200"/>
      <c r="W788" s="200"/>
      <c r="X788" s="186"/>
    </row>
    <row r="789" spans="2:46" s="190" customFormat="1" ht="15" customHeight="1" x14ac:dyDescent="0.25">
      <c r="B789" s="241" t="str">
        <f>IF($C$1="ENG","PRICE","ЦІНА")</f>
        <v>ЦІНА</v>
      </c>
      <c r="C789" s="242" t="str">
        <f>IF($C$1="ENG",IF($W$5=0.2,"with VAT","no VAT"),IF($W$5=0.2,"з ПДВ","без ПДВ"))</f>
        <v>з ПДВ</v>
      </c>
      <c r="D789" s="191"/>
      <c r="E789" s="243"/>
      <c r="F789" s="191"/>
      <c r="G789" s="243"/>
      <c r="H789" s="191"/>
      <c r="I789" s="243"/>
      <c r="J789" s="191"/>
      <c r="K789" s="243"/>
      <c r="L789" s="191"/>
      <c r="M789" s="243"/>
      <c r="N789" s="250"/>
      <c r="O789" s="194"/>
      <c r="P789" s="250"/>
      <c r="Q789" s="194"/>
      <c r="R789" s="191"/>
      <c r="S789" s="191"/>
      <c r="T789" s="191"/>
      <c r="U789" s="191"/>
      <c r="V789" s="191"/>
      <c r="W789" s="191"/>
      <c r="X789" s="191"/>
      <c r="AN789" s="192"/>
      <c r="AO789" s="192"/>
      <c r="AP789" s="192"/>
      <c r="AQ789" s="192"/>
      <c r="AR789" s="192"/>
      <c r="AS789" s="192"/>
      <c r="AT789" s="192"/>
    </row>
    <row r="790" spans="2:46" s="190" customFormat="1" ht="24.9" customHeight="1" x14ac:dyDescent="0.25">
      <c r="B790" s="201" t="str">
        <f>IF($C$1="ENG","Cover:","Покриття:")</f>
        <v>Покриття:</v>
      </c>
      <c r="C790" s="202" t="str">
        <f>IF($C$1="ENG","Verto-CELL","Verto-CELL")</f>
        <v>Verto-CELL</v>
      </c>
      <c r="D790" s="203">
        <f>IF(AC790="","",(1-$W$2)*(AC790/1.2))</f>
        <v>5183.3333333333339</v>
      </c>
      <c r="E790" s="204">
        <f>IF($W$5=0.2,D790*1.2,D790)/$W$4</f>
        <v>6220.0000000000009</v>
      </c>
      <c r="F790" s="203">
        <f>IF(AD790="","",(1-$W$2)*(AD790/1.2))</f>
        <v>5283.3333333333339</v>
      </c>
      <c r="G790" s="204">
        <f>IF($W$5=0.2,F790*1.2,F790)/$W$4</f>
        <v>6340.0000000000009</v>
      </c>
      <c r="H790" s="203">
        <f>IF(AE790="","",(1-$W$2)*(AE790/1.2))</f>
        <v>5183.3333333333339</v>
      </c>
      <c r="I790" s="204">
        <f>IF($W$5=0.2,H790*1.2,H790)/$W$4</f>
        <v>6220.0000000000009</v>
      </c>
      <c r="J790" s="203">
        <f>IF(AF790="","",(1-$W$2)*(AF790/1.2))</f>
        <v>5366.666666666667</v>
      </c>
      <c r="K790" s="204">
        <f>IF($W$5=0.2,J790*1.2,J790)/$W$4</f>
        <v>6440</v>
      </c>
      <c r="L790" s="203">
        <f>IF(AG790="","",(1-$W$2)*(AG790/1.2))</f>
        <v>5558.3333333333339</v>
      </c>
      <c r="M790" s="204">
        <f>IF($W$5=0.2,L790*1.2,L790)/$W$4</f>
        <v>6670.0000000000009</v>
      </c>
      <c r="N790" s="203"/>
      <c r="O790" s="205"/>
      <c r="P790" s="203"/>
      <c r="Q790" s="205"/>
      <c r="R790" s="203"/>
      <c r="S790" s="205"/>
      <c r="T790" s="203"/>
      <c r="U790" s="205"/>
      <c r="V790" s="203"/>
      <c r="W790" s="205"/>
      <c r="X790" s="191"/>
      <c r="AB790" s="195" t="str">
        <f>C790</f>
        <v>Verto-CELL</v>
      </c>
      <c r="AC790" s="219">
        <v>6220</v>
      </c>
      <c r="AD790" s="219">
        <v>6340</v>
      </c>
      <c r="AE790" s="219">
        <v>6220</v>
      </c>
      <c r="AF790" s="219">
        <v>6440</v>
      </c>
      <c r="AG790" s="219">
        <v>6670</v>
      </c>
      <c r="AH790" s="219"/>
      <c r="AI790" s="219"/>
      <c r="AJ790" s="1"/>
      <c r="AP790" s="219"/>
      <c r="AQ790" s="192"/>
      <c r="AR790" s="192"/>
      <c r="AS790" s="192"/>
      <c r="AT790" s="192"/>
    </row>
    <row r="791" spans="2:46" s="190" customFormat="1" ht="24.9" customHeight="1" x14ac:dyDescent="0.25">
      <c r="B791" s="254"/>
      <c r="C791" s="255" t="str">
        <f>IF($C$1="ENG","UNI-MAT","UNI-MAT")</f>
        <v>UNI-MAT</v>
      </c>
      <c r="D791" s="256">
        <f>IF(AC791="","",(1-$W$2)*(AC791/1.2))</f>
        <v>5941.666666666667</v>
      </c>
      <c r="E791" s="257">
        <f>IF($W$5=0.2,D791*1.2,D791)/$W$4</f>
        <v>7130</v>
      </c>
      <c r="F791" s="256">
        <f>IF(AD791="","",(1-$W$2)*(AD791/1.2))</f>
        <v>6058.3333333333339</v>
      </c>
      <c r="G791" s="257">
        <f>IF($W$5=0.2,F791*1.2,F791)/$W$4</f>
        <v>7270.0000000000009</v>
      </c>
      <c r="H791" s="256">
        <f>IF(AE791="","",(1-$W$2)*(AE791/1.2))</f>
        <v>5933.3333333333339</v>
      </c>
      <c r="I791" s="257">
        <f>IF($W$5=0.2,H791*1.2,H791)/$W$4</f>
        <v>7120.0000000000009</v>
      </c>
      <c r="J791" s="256">
        <f>IF(AF791="","",(1-$W$2)*(AF791/1.2))</f>
        <v>6166.666666666667</v>
      </c>
      <c r="K791" s="257">
        <f>IF($W$5=0.2,J791*1.2,J791)/$W$4</f>
        <v>7400</v>
      </c>
      <c r="L791" s="256">
        <f>IF(AG791="","",(1-$W$2)*(AG791/1.2))</f>
        <v>6366.666666666667</v>
      </c>
      <c r="M791" s="257">
        <f>IF($W$5=0.2,L791*1.2,L791)/$W$4</f>
        <v>7640</v>
      </c>
      <c r="N791" s="256"/>
      <c r="O791" s="258"/>
      <c r="P791" s="256"/>
      <c r="Q791" s="258"/>
      <c r="R791" s="256"/>
      <c r="S791" s="258"/>
      <c r="T791" s="256"/>
      <c r="U791" s="258"/>
      <c r="V791" s="256"/>
      <c r="W791" s="258"/>
      <c r="X791" s="191"/>
      <c r="AB791" s="195" t="str">
        <f>C791</f>
        <v>UNI-MAT</v>
      </c>
      <c r="AC791" s="219">
        <v>7130</v>
      </c>
      <c r="AD791" s="219">
        <v>7270</v>
      </c>
      <c r="AE791" s="219">
        <v>7120</v>
      </c>
      <c r="AF791" s="219">
        <v>7400</v>
      </c>
      <c r="AG791" s="219">
        <v>7640</v>
      </c>
      <c r="AH791" s="219"/>
      <c r="AI791" s="219"/>
      <c r="AJ791" s="1"/>
      <c r="AP791" s="219"/>
      <c r="AQ791" s="192"/>
      <c r="AR791" s="192"/>
      <c r="AS791" s="192"/>
      <c r="AT791" s="192"/>
    </row>
    <row r="792" spans="2:46" s="190" customFormat="1" ht="24.9" customHeight="1" x14ac:dyDescent="0.25">
      <c r="B792" s="254"/>
      <c r="C792" s="255" t="str">
        <f>IF($C$1="ENG","RESIST","RESIST")</f>
        <v>RESIST</v>
      </c>
      <c r="D792" s="256">
        <f>IF(AC792="","",(1-$W$2)*(AC792/1.2))</f>
        <v>6133.3333333333339</v>
      </c>
      <c r="E792" s="257">
        <f>IF($W$5=0.2,D792*1.2,D792)/$W$4</f>
        <v>7360.0000000000009</v>
      </c>
      <c r="F792" s="256">
        <f>IF(AD792="","",(1-$W$2)*(AD792/1.2))</f>
        <v>6266.666666666667</v>
      </c>
      <c r="G792" s="257">
        <f>IF($W$5=0.2,F792*1.2,F792)/$W$4</f>
        <v>7520</v>
      </c>
      <c r="H792" s="256">
        <f>IF(AE792="","",(1-$W$2)*(AE792/1.2))</f>
        <v>6133.3333333333339</v>
      </c>
      <c r="I792" s="257">
        <f>IF($W$5=0.2,H792*1.2,H792)/$W$4</f>
        <v>7360.0000000000009</v>
      </c>
      <c r="J792" s="256">
        <f>IF(AF792="","",(1-$W$2)*(AF792/1.2))</f>
        <v>6333.3333333333339</v>
      </c>
      <c r="K792" s="257">
        <f>IF($W$5=0.2,J792*1.2,J792)/$W$4</f>
        <v>7600</v>
      </c>
      <c r="L792" s="256">
        <f>IF(AG792="","",(1-$W$2)*(AG792/1.2))</f>
        <v>6525</v>
      </c>
      <c r="M792" s="257">
        <f>IF($W$5=0.2,L792*1.2,L792)/$W$4</f>
        <v>7830</v>
      </c>
      <c r="N792" s="256"/>
      <c r="O792" s="258"/>
      <c r="P792" s="256"/>
      <c r="Q792" s="258"/>
      <c r="R792" s="256"/>
      <c r="S792" s="258"/>
      <c r="T792" s="256"/>
      <c r="U792" s="258"/>
      <c r="V792" s="256"/>
      <c r="W792" s="258"/>
      <c r="X792" s="191"/>
      <c r="AB792" s="195" t="str">
        <f>C792</f>
        <v>RESIST</v>
      </c>
      <c r="AC792" s="219">
        <v>7360</v>
      </c>
      <c r="AD792" s="219">
        <v>7520</v>
      </c>
      <c r="AE792" s="219">
        <v>7360</v>
      </c>
      <c r="AF792" s="219">
        <v>7600</v>
      </c>
      <c r="AG792" s="219">
        <v>7830</v>
      </c>
      <c r="AH792" s="219"/>
      <c r="AI792" s="219"/>
      <c r="AJ792" s="1"/>
      <c r="AP792" s="219"/>
      <c r="AQ792" s="192"/>
      <c r="AR792" s="192"/>
      <c r="AS792" s="192"/>
      <c r="AT792" s="192"/>
    </row>
    <row r="793" spans="2:46" s="190" customFormat="1" ht="24.9" customHeight="1" x14ac:dyDescent="0.25">
      <c r="B793" s="254"/>
      <c r="C793" s="255" t="str">
        <f>IF($C$1="ENG","Verto LINE-3D","Verto LINE-3D")</f>
        <v>Verto LINE-3D</v>
      </c>
      <c r="D793" s="256">
        <f>IF(AC793="","",(1-$W$2)*(AC793/1.2))</f>
        <v>6508.3333333333339</v>
      </c>
      <c r="E793" s="257">
        <f>IF($W$5=0.2,D793*1.2,D793)/$W$4</f>
        <v>7810</v>
      </c>
      <c r="F793" s="256">
        <f>IF(AD793="","",(1-$W$2)*(AD793/1.2))</f>
        <v>6641.666666666667</v>
      </c>
      <c r="G793" s="257">
        <f>IF($W$5=0.2,F793*1.2,F793)/$W$4</f>
        <v>7970</v>
      </c>
      <c r="H793" s="256">
        <f>IF(AE793="","",(1-$W$2)*(AE793/1.2))</f>
        <v>6508.3333333333339</v>
      </c>
      <c r="I793" s="257">
        <f>IF($W$5=0.2,H793*1.2,H793)/$W$4</f>
        <v>7810</v>
      </c>
      <c r="J793" s="256">
        <f>IF(AF793="","",(1-$W$2)*(AF793/1.2))</f>
        <v>6700</v>
      </c>
      <c r="K793" s="257">
        <f>IF($W$5=0.2,J793*1.2,J793)/$W$4</f>
        <v>8040</v>
      </c>
      <c r="L793" s="256">
        <f>IF(AG793="","",(1-$W$2)*(AG793/1.2))</f>
        <v>6916.666666666667</v>
      </c>
      <c r="M793" s="257">
        <f>IF($W$5=0.2,L793*1.2,L793)/$W$4</f>
        <v>8300</v>
      </c>
      <c r="N793" s="256"/>
      <c r="O793" s="258"/>
      <c r="P793" s="256"/>
      <c r="Q793" s="258"/>
      <c r="R793" s="256"/>
      <c r="S793" s="258"/>
      <c r="T793" s="256"/>
      <c r="U793" s="258"/>
      <c r="V793" s="256"/>
      <c r="W793" s="258"/>
      <c r="X793" s="191"/>
      <c r="AB793" s="195" t="str">
        <f>C793</f>
        <v>Verto LINE-3D</v>
      </c>
      <c r="AC793" s="219">
        <v>7810</v>
      </c>
      <c r="AD793" s="219">
        <v>7970</v>
      </c>
      <c r="AE793" s="219">
        <v>7810</v>
      </c>
      <c r="AF793" s="219">
        <v>8040</v>
      </c>
      <c r="AG793" s="219">
        <v>8300</v>
      </c>
      <c r="AH793" s="219"/>
      <c r="AI793" s="219"/>
      <c r="AJ793" s="1"/>
      <c r="AP793" s="219"/>
      <c r="AQ793" s="192"/>
      <c r="AR793" s="192"/>
      <c r="AS793" s="192"/>
      <c r="AT793" s="192"/>
    </row>
    <row r="794" spans="2:46" s="190" customFormat="1" ht="24.9" customHeight="1" x14ac:dyDescent="0.25">
      <c r="B794" s="206"/>
      <c r="C794" s="207" t="str">
        <f>IF($C$1="ENG","Premium","Premium")</f>
        <v>Premium</v>
      </c>
      <c r="D794" s="208">
        <f>IF(AC794="","",(1-$W$2)*(AC794/1.2))</f>
        <v>6750</v>
      </c>
      <c r="E794" s="209">
        <f>IF($W$5=0.2,D794*1.2,D794)/$W$4</f>
        <v>8100</v>
      </c>
      <c r="F794" s="208">
        <f>IF(AD794="","",(1-$W$2)*(AD794/1.2))</f>
        <v>7308.3333333333339</v>
      </c>
      <c r="G794" s="209">
        <f>IF($W$5=0.2,F794*1.2,F794)/$W$4</f>
        <v>8770</v>
      </c>
      <c r="H794" s="208">
        <f>IF(AE794="","",(1-$W$2)*(AE794/1.2))</f>
        <v>6750</v>
      </c>
      <c r="I794" s="209">
        <f>IF($W$5=0.2,H794*1.2,H794)/$W$4</f>
        <v>8100</v>
      </c>
      <c r="J794" s="208">
        <f>IF(AF794="","",(1-$W$2)*(AF794/1.2))</f>
        <v>6925</v>
      </c>
      <c r="K794" s="209">
        <f>IF($W$5=0.2,J794*1.2,J794)/$W$4</f>
        <v>8310</v>
      </c>
      <c r="L794" s="208">
        <f>IF(AG794="","",(1-$W$2)*(AG794/1.2))</f>
        <v>7133.3333333333339</v>
      </c>
      <c r="M794" s="209">
        <f>IF($W$5=0.2,L794*1.2,L794)/$W$4</f>
        <v>8560</v>
      </c>
      <c r="N794" s="208"/>
      <c r="O794" s="210"/>
      <c r="P794" s="208"/>
      <c r="Q794" s="210"/>
      <c r="R794" s="208"/>
      <c r="S794" s="210"/>
      <c r="T794" s="208"/>
      <c r="U794" s="210"/>
      <c r="V794" s="208"/>
      <c r="W794" s="210"/>
      <c r="X794" s="191"/>
      <c r="AB794" s="195" t="str">
        <f>C794</f>
        <v>Premium</v>
      </c>
      <c r="AC794" s="219">
        <v>8100</v>
      </c>
      <c r="AD794" s="219">
        <v>8770</v>
      </c>
      <c r="AE794" s="219">
        <v>8100</v>
      </c>
      <c r="AF794" s="219">
        <v>8310</v>
      </c>
      <c r="AG794" s="219">
        <v>8560</v>
      </c>
      <c r="AH794" s="219"/>
      <c r="AI794" s="219"/>
      <c r="AJ794" s="1"/>
      <c r="AP794" s="219"/>
      <c r="AQ794" s="192"/>
      <c r="AR794" s="192"/>
      <c r="AS794" s="192"/>
      <c r="AT794" s="192"/>
    </row>
    <row r="795" spans="2:46" x14ac:dyDescent="0.25">
      <c r="B795" s="187"/>
      <c r="C795" s="1"/>
      <c r="D795" s="186"/>
      <c r="E795" s="186"/>
      <c r="F795" s="186"/>
      <c r="G795" s="186"/>
      <c r="H795" s="186"/>
      <c r="I795" s="186"/>
      <c r="J795" s="186"/>
      <c r="K795" s="186"/>
      <c r="L795" s="186"/>
      <c r="M795" s="200"/>
      <c r="N795" s="200"/>
      <c r="O795" s="200"/>
      <c r="P795" s="200"/>
      <c r="Q795" s="200"/>
      <c r="R795" s="186"/>
      <c r="S795" s="186"/>
      <c r="T795" s="186"/>
      <c r="U795" s="186"/>
      <c r="V795" s="186"/>
      <c r="W795" s="186"/>
      <c r="X795" s="186"/>
      <c r="AN795" s="1"/>
      <c r="AO795" s="1"/>
      <c r="AP795" s="1"/>
    </row>
    <row r="796" spans="2:46" x14ac:dyDescent="0.25">
      <c r="B796" s="211" t="str">
        <f>IF($C$1="ENG","For additonal charge:","Послуги за додаткову плату:")</f>
        <v>Послуги за додаткову плату:</v>
      </c>
      <c r="C796" s="212"/>
      <c r="D796" s="213"/>
      <c r="E796" s="214" t="str">
        <f>CONCATENATE(B789," ",C789)</f>
        <v>ЦІНА з ПДВ</v>
      </c>
      <c r="F796" s="215"/>
      <c r="G796" s="215"/>
      <c r="H796" s="215"/>
      <c r="I796" s="215"/>
      <c r="J796" s="215"/>
      <c r="K796" s="215"/>
      <c r="L796" s="215"/>
      <c r="M796" s="215"/>
      <c r="N796" s="215"/>
      <c r="O796" s="215"/>
      <c r="P796" s="215"/>
      <c r="Q796" s="215"/>
      <c r="R796" s="215"/>
      <c r="S796" s="215"/>
      <c r="T796" s="215"/>
      <c r="U796" s="215"/>
      <c r="V796" s="215"/>
      <c r="W796" s="215"/>
      <c r="X796" s="186"/>
      <c r="AN796" s="1"/>
      <c r="AO796" s="1"/>
      <c r="AP796" s="1"/>
    </row>
    <row r="797" spans="2:46" x14ac:dyDescent="0.25">
      <c r="B797" s="187"/>
      <c r="C797" s="1"/>
      <c r="D797" s="186"/>
      <c r="E797" s="186"/>
      <c r="F797" s="186"/>
      <c r="G797" s="186"/>
      <c r="H797" s="186"/>
      <c r="I797" s="186"/>
      <c r="J797" s="186"/>
      <c r="K797" s="186"/>
      <c r="L797" s="186"/>
      <c r="M797" s="186"/>
      <c r="N797" s="186"/>
      <c r="O797" s="186"/>
      <c r="P797" s="186"/>
      <c r="Q797" s="186"/>
      <c r="R797" s="186"/>
      <c r="S797" s="186"/>
      <c r="T797" s="186"/>
      <c r="U797" s="186"/>
      <c r="V797" s="186"/>
      <c r="W797" s="186"/>
      <c r="X797" s="186"/>
      <c r="AN797" s="1"/>
      <c r="AO797" s="1"/>
      <c r="AP797" s="1"/>
    </row>
    <row r="798" spans="2:46" ht="15" customHeight="1" x14ac:dyDescent="0.25">
      <c r="B798" s="224"/>
      <c r="C798" s="223" t="str">
        <f>IF($C$1="ENG","glazing Graphite / Bronze","скло Графіт / Бронза")</f>
        <v>скло Графіт / Бронза</v>
      </c>
      <c r="D798" s="236">
        <f>IF(AC798="","",(1-$W$2)*(AC798/1.2))</f>
        <v>475</v>
      </c>
      <c r="E798" s="227">
        <f>IF($W$5=0.2,D798*1.2,D798)/$W$4</f>
        <v>570</v>
      </c>
      <c r="F798" s="191"/>
      <c r="G798" s="229"/>
      <c r="H798" s="224"/>
      <c r="I798" s="223" t="str">
        <f>IF($C$1="ENG","door hindge Prestige (1 unit)","завіса Prestige (1 шт)")</f>
        <v>завіса Prestige (1 шт)</v>
      </c>
      <c r="J798" s="238">
        <f>IF(AF798="","",(1-$W$2)*(AF798/1.2))</f>
        <v>250</v>
      </c>
      <c r="K798" s="227">
        <f>IF($W$5=0.2,J798*1.2,J798)/$W$4</f>
        <v>300</v>
      </c>
      <c r="L798" s="191"/>
      <c r="M798" s="250"/>
      <c r="S798" s="186"/>
      <c r="T798" s="186"/>
      <c r="U798" s="186"/>
      <c r="V798" s="186"/>
      <c r="W798" s="186"/>
      <c r="X798" s="186"/>
      <c r="AC798" s="218">
        <v>570</v>
      </c>
      <c r="AF798" s="218">
        <v>300</v>
      </c>
      <c r="AI798" s="218"/>
      <c r="AK798" s="218"/>
      <c r="AN798" s="218"/>
      <c r="AO798" s="1"/>
      <c r="AP798" s="1"/>
    </row>
    <row r="799" spans="2:46" ht="15" customHeight="1" x14ac:dyDescent="0.25">
      <c r="B799" s="225"/>
      <c r="C799" s="222" t="str">
        <f>IF($C$1="ENG","glazing Lacobel black ","скло Lacobel чорне")</f>
        <v>скло Lacobel чорне</v>
      </c>
      <c r="D799" s="237">
        <f>IF(AC799="","",(1-$W$2)*(AC799/1.2))</f>
        <v>525</v>
      </c>
      <c r="E799" s="228">
        <f>IF($W$5=0.2,D799*1.2,D799)/$W$4</f>
        <v>630</v>
      </c>
      <c r="F799" s="191"/>
      <c r="G799" s="230"/>
      <c r="H799" s="225"/>
      <c r="I799" s="222" t="str">
        <f>IF($C$1="ENG","door hinge caps (1 set)","накладка на завіси (1 к-т)")</f>
        <v>накладка на завіси (1 к-т)</v>
      </c>
      <c r="J799" s="239">
        <f>IF(AF799="","",(1-$W$2)*(AF799/1.2))</f>
        <v>75</v>
      </c>
      <c r="K799" s="228">
        <f>IF($W$5=0.2,J799*1.2,J799)/$W$4</f>
        <v>90</v>
      </c>
      <c r="L799" s="191"/>
      <c r="M799" s="250"/>
      <c r="S799" s="186"/>
      <c r="T799" s="186"/>
      <c r="U799" s="186"/>
      <c r="V799" s="186"/>
      <c r="W799" s="186"/>
      <c r="X799" s="186"/>
      <c r="AC799" s="218">
        <v>630</v>
      </c>
      <c r="AF799" s="218">
        <v>90</v>
      </c>
      <c r="AI799" s="218"/>
      <c r="AK799" s="218"/>
      <c r="AN799" s="218"/>
      <c r="AO799" s="1"/>
      <c r="AP799" s="1"/>
    </row>
    <row r="800" spans="2:46" x14ac:dyDescent="0.25">
      <c r="C800" s="1"/>
      <c r="F800" s="191"/>
      <c r="G800" s="295"/>
      <c r="H800" s="5"/>
      <c r="L800" s="191"/>
      <c r="M800" s="250"/>
      <c r="S800" s="186"/>
      <c r="T800" s="186"/>
      <c r="U800" s="186"/>
      <c r="V800" s="186"/>
      <c r="W800" s="186"/>
      <c r="X800" s="186"/>
    </row>
    <row r="801" spans="2:46" s="8" customFormat="1" x14ac:dyDescent="0.25">
      <c r="B801" s="1"/>
      <c r="C801" s="1"/>
      <c r="D801" s="1"/>
      <c r="E801" s="1"/>
      <c r="F801" s="184"/>
      <c r="G801" s="184"/>
      <c r="H801" s="5"/>
      <c r="I801" s="1"/>
      <c r="J801" s="1"/>
      <c r="K801" s="1"/>
      <c r="L801" s="220"/>
      <c r="M801" s="294"/>
      <c r="N801" s="1"/>
      <c r="O801" s="1"/>
      <c r="P801" s="1"/>
      <c r="Q801" s="1"/>
      <c r="R801" s="1"/>
      <c r="AC801" s="1"/>
      <c r="AF801" s="1"/>
      <c r="AI801" s="1"/>
      <c r="AN801" s="123"/>
      <c r="AO801" s="123"/>
      <c r="AP801" s="123"/>
      <c r="AQ801" s="123"/>
      <c r="AR801" s="123"/>
      <c r="AS801" s="123"/>
      <c r="AT801" s="123"/>
    </row>
    <row r="802" spans="2:46" x14ac:dyDescent="0.25">
      <c r="C802" s="110"/>
      <c r="D802" s="21"/>
      <c r="E802" s="21"/>
      <c r="F802" s="21"/>
      <c r="G802" s="21"/>
      <c r="H802" s="5"/>
      <c r="M802" s="27"/>
    </row>
    <row r="803" spans="2:46" x14ac:dyDescent="0.25">
      <c r="C803" s="110"/>
      <c r="D803" s="21"/>
      <c r="E803" s="21"/>
      <c r="F803" s="21"/>
      <c r="G803" s="21"/>
      <c r="H803" s="5"/>
    </row>
    <row r="804" spans="2:46" s="8" customFormat="1" ht="24.9" customHeight="1" x14ac:dyDescent="0.25">
      <c r="B804" s="246" t="str">
        <f>TITLE!C34</f>
        <v>Полотна: ДОБОРИ</v>
      </c>
      <c r="C804" s="244"/>
      <c r="D804" s="245"/>
      <c r="E804" s="245"/>
      <c r="F804" s="216"/>
      <c r="G804" s="216"/>
      <c r="H804" s="216"/>
      <c r="I804" s="217"/>
      <c r="J804" s="217"/>
      <c r="K804" s="217"/>
      <c r="L804" s="217"/>
      <c r="M804" s="217"/>
      <c r="N804" s="217"/>
      <c r="O804" s="217"/>
      <c r="P804" s="217"/>
      <c r="Q804" s="217"/>
      <c r="R804" s="217"/>
      <c r="S804" s="217"/>
      <c r="T804" s="217"/>
      <c r="U804" s="217"/>
      <c r="V804" s="217"/>
      <c r="W804" s="217"/>
      <c r="X804" s="185"/>
      <c r="AN804" s="123"/>
      <c r="AO804" s="123"/>
      <c r="AP804" s="123"/>
      <c r="AQ804" s="123"/>
      <c r="AR804" s="123"/>
      <c r="AS804" s="123"/>
      <c r="AT804" s="123"/>
    </row>
    <row r="805" spans="2:46" s="8" customFormat="1" x14ac:dyDescent="0.25">
      <c r="B805" s="83"/>
      <c r="C805" s="162"/>
      <c r="D805" s="247"/>
      <c r="E805" s="247"/>
      <c r="F805" s="247"/>
      <c r="G805" s="247"/>
      <c r="H805" s="10"/>
      <c r="I805" s="264"/>
      <c r="J805" s="10"/>
      <c r="K805" s="264"/>
      <c r="L805" s="10"/>
      <c r="M805" s="264"/>
      <c r="N805" s="10"/>
      <c r="O805" s="264"/>
      <c r="P805" s="10"/>
      <c r="Q805" s="264"/>
      <c r="T805" s="90"/>
      <c r="U805" s="90"/>
      <c r="V805" s="90"/>
      <c r="W805" s="90"/>
      <c r="AN805" s="123"/>
      <c r="AO805" s="123"/>
      <c r="AP805" s="123"/>
      <c r="AQ805" s="123"/>
      <c r="AR805" s="123"/>
      <c r="AS805" s="123"/>
      <c r="AT805" s="123"/>
    </row>
    <row r="806" spans="2:46" x14ac:dyDescent="0.25">
      <c r="B806" s="186"/>
      <c r="C806" s="193" t="str">
        <f>IF($C$1="ENG","model:","модель:")</f>
        <v>модель:</v>
      </c>
      <c r="D806" s="186"/>
      <c r="E806" s="196" t="s">
        <v>4</v>
      </c>
      <c r="F806" s="188"/>
      <c r="G806" s="196" t="s">
        <v>5</v>
      </c>
      <c r="H806" s="188"/>
      <c r="I806" s="248"/>
      <c r="J806" s="248"/>
      <c r="K806" s="248"/>
      <c r="L806" s="248"/>
      <c r="M806" s="248"/>
      <c r="N806" s="248"/>
      <c r="O806" s="248"/>
      <c r="P806" s="248"/>
      <c r="Q806" s="248"/>
      <c r="R806" s="186"/>
      <c r="S806" s="186"/>
      <c r="T806" s="186"/>
      <c r="U806" s="186"/>
      <c r="V806" s="186"/>
      <c r="W806" s="186"/>
      <c r="X806" s="186"/>
    </row>
    <row r="807" spans="2:46" x14ac:dyDescent="0.25">
      <c r="B807" s="186"/>
      <c r="C807" s="187"/>
      <c r="D807" s="186"/>
      <c r="E807" s="197"/>
      <c r="F807" s="186"/>
      <c r="G807" s="197"/>
      <c r="H807" s="186"/>
      <c r="I807" s="200"/>
      <c r="J807" s="200"/>
      <c r="K807" s="200"/>
      <c r="L807" s="200"/>
      <c r="M807" s="200"/>
      <c r="N807" s="200"/>
      <c r="O807" s="200"/>
      <c r="P807" s="200"/>
      <c r="Q807" s="200"/>
      <c r="R807" s="186"/>
      <c r="S807" s="186"/>
      <c r="T807" s="186"/>
      <c r="U807" s="186"/>
      <c r="V807" s="186"/>
      <c r="W807" s="186"/>
      <c r="X807" s="186"/>
    </row>
    <row r="808" spans="2:46" x14ac:dyDescent="0.25">
      <c r="B808" s="186"/>
      <c r="C808" s="187"/>
      <c r="D808" s="186"/>
      <c r="E808" s="197"/>
      <c r="F808" s="186"/>
      <c r="G808" s="197"/>
      <c r="H808" s="186"/>
      <c r="I808" s="200"/>
      <c r="J808" s="200"/>
      <c r="K808" s="200"/>
      <c r="L808" s="200"/>
      <c r="M808" s="200"/>
      <c r="N808" s="200"/>
      <c r="O808" s="200"/>
      <c r="P808" s="200"/>
      <c r="Q808" s="200"/>
      <c r="R808" s="186"/>
      <c r="S808" s="186"/>
      <c r="T808" s="186"/>
      <c r="U808" s="186"/>
      <c r="V808" s="186"/>
      <c r="W808" s="186"/>
      <c r="X808" s="186"/>
    </row>
    <row r="809" spans="2:46" x14ac:dyDescent="0.25">
      <c r="B809" s="186"/>
      <c r="C809" s="187"/>
      <c r="D809" s="186"/>
      <c r="E809" s="197"/>
      <c r="F809" s="186"/>
      <c r="G809" s="197"/>
      <c r="H809" s="186"/>
      <c r="I809" s="200"/>
      <c r="J809" s="200"/>
      <c r="K809" s="200"/>
      <c r="L809" s="200"/>
      <c r="M809" s="200"/>
      <c r="N809" s="200"/>
      <c r="O809" s="200"/>
      <c r="P809" s="200"/>
      <c r="Q809" s="200"/>
      <c r="R809" s="186"/>
      <c r="S809" s="186"/>
      <c r="T809" s="186"/>
      <c r="U809" s="186"/>
      <c r="V809" s="186"/>
      <c r="W809" s="186"/>
      <c r="X809" s="186"/>
    </row>
    <row r="810" spans="2:46" x14ac:dyDescent="0.25">
      <c r="B810" s="186"/>
      <c r="C810" s="187"/>
      <c r="D810" s="186"/>
      <c r="E810" s="197"/>
      <c r="F810" s="186"/>
      <c r="G810" s="197"/>
      <c r="H810" s="186"/>
      <c r="I810" s="200"/>
      <c r="J810" s="200"/>
      <c r="K810" s="200"/>
      <c r="L810" s="200"/>
      <c r="M810" s="200"/>
      <c r="N810" s="200"/>
      <c r="O810" s="200"/>
      <c r="P810" s="200"/>
      <c r="Q810" s="200"/>
      <c r="R810" s="186"/>
      <c r="S810" s="186"/>
      <c r="T810" s="186"/>
      <c r="U810" s="186"/>
      <c r="V810" s="186"/>
      <c r="W810" s="186"/>
      <c r="X810" s="186"/>
    </row>
    <row r="811" spans="2:46" x14ac:dyDescent="0.25">
      <c r="B811" s="186"/>
      <c r="C811" s="187"/>
      <c r="D811" s="186"/>
      <c r="E811" s="197"/>
      <c r="F811" s="186"/>
      <c r="G811" s="197"/>
      <c r="H811" s="186"/>
      <c r="I811" s="200"/>
      <c r="J811" s="200"/>
      <c r="K811" s="200"/>
      <c r="L811" s="200"/>
      <c r="M811" s="200"/>
      <c r="N811" s="200"/>
      <c r="O811" s="200"/>
      <c r="P811" s="200"/>
      <c r="Q811" s="200"/>
      <c r="R811" s="186"/>
      <c r="S811" s="186"/>
      <c r="T811" s="186"/>
      <c r="U811" s="186"/>
      <c r="V811" s="186"/>
      <c r="W811" s="186"/>
      <c r="X811" s="186"/>
    </row>
    <row r="812" spans="2:46" x14ac:dyDescent="0.25">
      <c r="B812" s="186"/>
      <c r="C812" s="187"/>
      <c r="D812" s="186"/>
      <c r="E812" s="197"/>
      <c r="F812" s="186"/>
      <c r="G812" s="197"/>
      <c r="H812" s="186"/>
      <c r="I812" s="200"/>
      <c r="J812" s="200"/>
      <c r="K812" s="200"/>
      <c r="L812" s="200"/>
      <c r="M812" s="200"/>
      <c r="N812" s="200"/>
      <c r="O812" s="200"/>
      <c r="P812" s="200"/>
      <c r="Q812" s="200"/>
      <c r="R812" s="186"/>
      <c r="S812" s="186"/>
      <c r="T812" s="186"/>
      <c r="U812" s="186"/>
      <c r="V812" s="186"/>
      <c r="W812" s="186"/>
      <c r="X812" s="186"/>
    </row>
    <row r="813" spans="2:46" x14ac:dyDescent="0.25">
      <c r="B813" s="186"/>
      <c r="C813" s="187"/>
      <c r="D813" s="186"/>
      <c r="E813" s="197"/>
      <c r="F813" s="186"/>
      <c r="G813" s="197"/>
      <c r="H813" s="186"/>
      <c r="I813" s="200"/>
      <c r="J813" s="200"/>
      <c r="K813" s="200"/>
      <c r="L813" s="200"/>
      <c r="M813" s="200"/>
      <c r="N813" s="200"/>
      <c r="O813" s="200"/>
      <c r="P813" s="200"/>
      <c r="Q813" s="200"/>
      <c r="R813" s="186"/>
      <c r="S813" s="186"/>
      <c r="T813" s="186"/>
      <c r="U813" s="186"/>
      <c r="V813" s="186"/>
      <c r="W813" s="186"/>
      <c r="X813" s="186"/>
    </row>
    <row r="814" spans="2:46" x14ac:dyDescent="0.25">
      <c r="B814" s="186"/>
      <c r="C814" s="1"/>
      <c r="D814" s="186"/>
      <c r="E814" s="197"/>
      <c r="F814" s="186"/>
      <c r="G814" s="197"/>
      <c r="H814" s="186"/>
      <c r="I814" s="200"/>
      <c r="J814" s="200"/>
      <c r="K814" s="200"/>
      <c r="L814" s="200"/>
      <c r="M814" s="200"/>
      <c r="N814" s="200"/>
      <c r="O814" s="200"/>
      <c r="P814" s="200"/>
      <c r="Q814" s="200"/>
      <c r="R814" s="186"/>
      <c r="S814" s="186"/>
      <c r="T814" s="186"/>
      <c r="U814" s="186"/>
      <c r="V814" s="186"/>
      <c r="W814" s="186"/>
      <c r="X814" s="186"/>
    </row>
    <row r="815" spans="2:46" x14ac:dyDescent="0.25">
      <c r="B815" s="186"/>
      <c r="C815" s="187" t="str">
        <f>IF($C$1="ENG","filling:","заповнення:")</f>
        <v>заповнення:</v>
      </c>
      <c r="D815" s="186"/>
      <c r="E815" s="198" t="s">
        <v>65</v>
      </c>
      <c r="F815" s="189"/>
      <c r="G815" s="198" t="s">
        <v>65</v>
      </c>
      <c r="H815" s="189"/>
      <c r="I815" s="249"/>
      <c r="J815" s="249"/>
      <c r="K815" s="249"/>
      <c r="L815" s="249"/>
      <c r="M815" s="249"/>
      <c r="N815" s="249"/>
      <c r="O815" s="249"/>
      <c r="P815" s="249"/>
      <c r="Q815" s="249"/>
      <c r="R815" s="186"/>
      <c r="S815" s="186"/>
      <c r="T815" s="186"/>
      <c r="U815" s="186"/>
      <c r="V815" s="186"/>
      <c r="W815" s="186"/>
      <c r="X815" s="186"/>
    </row>
    <row r="816" spans="2:46" x14ac:dyDescent="0.25">
      <c r="B816" s="186"/>
      <c r="C816" s="187" t="str">
        <f>IF($C$1="ENG","glazing:","скління:")</f>
        <v>скління:</v>
      </c>
      <c r="D816" s="186"/>
      <c r="E816" s="198" t="s">
        <v>66</v>
      </c>
      <c r="F816" s="189"/>
      <c r="G816" s="198" t="str">
        <f>IF($C$1="ENG","Satin","Сатин")</f>
        <v>Сатин</v>
      </c>
      <c r="H816" s="189"/>
      <c r="I816" s="249"/>
      <c r="J816" s="249"/>
      <c r="K816" s="249"/>
      <c r="L816" s="249"/>
      <c r="M816" s="249"/>
      <c r="N816" s="249"/>
      <c r="O816" s="249"/>
      <c r="P816" s="249"/>
      <c r="Q816" s="249"/>
      <c r="R816" s="186"/>
      <c r="S816" s="186"/>
      <c r="T816" s="186"/>
      <c r="U816" s="186"/>
      <c r="V816" s="186"/>
      <c r="W816" s="186"/>
      <c r="X816" s="186"/>
    </row>
    <row r="817" spans="2:46" x14ac:dyDescent="0.25">
      <c r="D817" s="199"/>
      <c r="E817" s="197"/>
      <c r="F817" s="200"/>
      <c r="G817" s="197"/>
      <c r="H817" s="200"/>
      <c r="I817" s="200"/>
      <c r="J817" s="200"/>
      <c r="K817" s="200"/>
      <c r="L817" s="200"/>
      <c r="M817" s="200"/>
      <c r="N817" s="200"/>
      <c r="O817" s="200"/>
      <c r="P817" s="200"/>
      <c r="Q817" s="200"/>
      <c r="R817" s="200"/>
      <c r="S817" s="200"/>
      <c r="T817" s="200"/>
      <c r="U817" s="200"/>
      <c r="V817" s="200"/>
      <c r="W817" s="200"/>
      <c r="X817" s="186"/>
    </row>
    <row r="818" spans="2:46" s="190" customFormat="1" ht="15" customHeight="1" x14ac:dyDescent="0.25">
      <c r="B818" s="241" t="str">
        <f>IF($C$1="ENG","PRICE","ЦІНА")</f>
        <v>ЦІНА</v>
      </c>
      <c r="C818" s="242" t="str">
        <f>IF($C$1="ENG",IF($W$5=0.2,"with VAT","no VAT"),IF($W$5=0.2,"з ПДВ","без ПДВ"))</f>
        <v>з ПДВ</v>
      </c>
      <c r="D818" s="191"/>
      <c r="E818" s="243"/>
      <c r="F818" s="191"/>
      <c r="G818" s="243"/>
      <c r="H818" s="191"/>
      <c r="I818" s="194"/>
      <c r="J818" s="250"/>
      <c r="K818" s="194"/>
      <c r="L818" s="250"/>
      <c r="M818" s="194"/>
      <c r="N818" s="250"/>
      <c r="O818" s="194"/>
      <c r="P818" s="250"/>
      <c r="Q818" s="194"/>
      <c r="R818" s="191"/>
      <c r="S818" s="191"/>
      <c r="T818" s="191"/>
      <c r="U818" s="191"/>
      <c r="V818" s="191"/>
      <c r="W818" s="191"/>
      <c r="X818" s="191"/>
      <c r="AC818" s="332">
        <v>0.1</v>
      </c>
      <c r="AN818" s="192"/>
      <c r="AO818" s="192"/>
      <c r="AP818" s="192"/>
      <c r="AQ818" s="192"/>
      <c r="AR818" s="192"/>
      <c r="AS818" s="192"/>
      <c r="AT818" s="192"/>
    </row>
    <row r="819" spans="2:46" s="190" customFormat="1" ht="24.9" customHeight="1" x14ac:dyDescent="0.25">
      <c r="B819" s="201" t="str">
        <f>IF($C$1="ENG","Cover:","Покриття:")</f>
        <v>Покриття:</v>
      </c>
      <c r="C819" s="202" t="str">
        <f>IF($C$1="ENG","SIMPLEX / Verto-CELL","SIMPLEX / Verto-CELL")</f>
        <v>SIMPLEX / Verto-CELL</v>
      </c>
      <c r="D819" s="203">
        <f>IF(AC819="","",(1-$W$2)*(AC819/1.2))</f>
        <v>2116.666666666667</v>
      </c>
      <c r="E819" s="204">
        <f>IF($W$5=0.2,D819*1.2,D819)/$W$4</f>
        <v>2540.0000000000005</v>
      </c>
      <c r="F819" s="203">
        <f>IF(AD819="","",(1-$W$2)*(AD819/1.2))</f>
        <v>4241.666666666667</v>
      </c>
      <c r="G819" s="204">
        <f>IF($W$5=0.2,F819*1.2,F819)/$W$4</f>
        <v>5090</v>
      </c>
      <c r="H819" s="203"/>
      <c r="I819" s="205"/>
      <c r="J819" s="203"/>
      <c r="K819" s="205"/>
      <c r="L819" s="203"/>
      <c r="M819" s="205"/>
      <c r="N819" s="203"/>
      <c r="O819" s="205"/>
      <c r="P819" s="203"/>
      <c r="Q819" s="205"/>
      <c r="R819" s="203"/>
      <c r="S819" s="205"/>
      <c r="T819" s="203"/>
      <c r="U819" s="205"/>
      <c r="V819" s="203"/>
      <c r="W819" s="205"/>
      <c r="X819" s="191"/>
      <c r="AB819" s="195" t="str">
        <f>C819</f>
        <v>SIMPLEX / Verto-CELL</v>
      </c>
      <c r="AC819" s="219">
        <v>2540</v>
      </c>
      <c r="AD819" s="219">
        <v>5090</v>
      </c>
      <c r="AE819" s="219"/>
      <c r="AF819" s="219"/>
      <c r="AG819" s="219"/>
      <c r="AH819" s="219"/>
      <c r="AI819" s="219"/>
      <c r="AJ819" s="1"/>
      <c r="AN819" s="192"/>
      <c r="AO819" s="192"/>
      <c r="AP819" s="192"/>
      <c r="AQ819" s="192"/>
      <c r="AR819" s="192"/>
      <c r="AS819" s="192"/>
      <c r="AT819" s="192"/>
    </row>
    <row r="820" spans="2:46" s="190" customFormat="1" ht="24.9" customHeight="1" x14ac:dyDescent="0.25">
      <c r="B820" s="254"/>
      <c r="C820" s="255" t="str">
        <f>IF($C$1="ENG","UNI-MAT","UNI-MAT")</f>
        <v>UNI-MAT</v>
      </c>
      <c r="D820" s="256">
        <f>IF(AC820="","",(1-$W$2)*(AC820/1.2))</f>
        <v>2441.666666666667</v>
      </c>
      <c r="E820" s="257">
        <f>IF($W$5=0.2,D820*1.2,D820)/$W$4</f>
        <v>2930.0000000000005</v>
      </c>
      <c r="F820" s="256">
        <f>IF(AD820="","",(1-$W$2)*(AD820/1.2))</f>
        <v>4725</v>
      </c>
      <c r="G820" s="257">
        <f>IF($W$5=0.2,F820*1.2,F820)/$W$4</f>
        <v>5670</v>
      </c>
      <c r="H820" s="256"/>
      <c r="I820" s="258"/>
      <c r="J820" s="256"/>
      <c r="K820" s="258"/>
      <c r="L820" s="256"/>
      <c r="M820" s="258"/>
      <c r="N820" s="256"/>
      <c r="O820" s="258"/>
      <c r="P820" s="256"/>
      <c r="Q820" s="258"/>
      <c r="R820" s="256"/>
      <c r="S820" s="258"/>
      <c r="T820" s="256"/>
      <c r="U820" s="258"/>
      <c r="V820" s="256"/>
      <c r="W820" s="258"/>
      <c r="X820" s="191"/>
      <c r="AB820" s="195" t="str">
        <f>C820</f>
        <v>UNI-MAT</v>
      </c>
      <c r="AC820" s="219">
        <v>2930</v>
      </c>
      <c r="AD820" s="219">
        <v>5670</v>
      </c>
      <c r="AE820" s="219"/>
      <c r="AF820" s="219"/>
      <c r="AG820" s="219"/>
      <c r="AH820" s="219"/>
      <c r="AI820" s="219"/>
      <c r="AJ820" s="1"/>
      <c r="AN820" s="192"/>
      <c r="AO820" s="192"/>
      <c r="AP820" s="192"/>
      <c r="AQ820" s="192"/>
      <c r="AR820" s="192"/>
      <c r="AS820" s="192"/>
      <c r="AT820" s="192"/>
    </row>
    <row r="821" spans="2:46" s="190" customFormat="1" ht="24.9" customHeight="1" x14ac:dyDescent="0.25">
      <c r="B821" s="206"/>
      <c r="C821" s="207" t="str">
        <f>IF($C$1="ENG","RESIST","RESIST")</f>
        <v>RESIST</v>
      </c>
      <c r="D821" s="208">
        <f>IF(AC821="","",(1-$W$2)*(AC821/1.2))</f>
        <v>2708.3333333333335</v>
      </c>
      <c r="E821" s="209">
        <f>IF($W$5=0.2,D821*1.2,D821)/$W$4</f>
        <v>3250</v>
      </c>
      <c r="F821" s="208">
        <f>IF(AD821="","",(1-$W$2)*(AD821/1.2))</f>
        <v>4875</v>
      </c>
      <c r="G821" s="209">
        <f>IF($W$5=0.2,F821*1.2,F821)/$W$4</f>
        <v>5850</v>
      </c>
      <c r="H821" s="208"/>
      <c r="I821" s="210"/>
      <c r="J821" s="208"/>
      <c r="K821" s="210"/>
      <c r="L821" s="208"/>
      <c r="M821" s="210"/>
      <c r="N821" s="208"/>
      <c r="O821" s="210"/>
      <c r="P821" s="208"/>
      <c r="Q821" s="210"/>
      <c r="R821" s="208"/>
      <c r="S821" s="210"/>
      <c r="T821" s="208"/>
      <c r="U821" s="210"/>
      <c r="V821" s="208"/>
      <c r="W821" s="210"/>
      <c r="X821" s="191"/>
      <c r="AB821" s="195" t="str">
        <f>C821</f>
        <v>RESIST</v>
      </c>
      <c r="AC821" s="219">
        <v>3250</v>
      </c>
      <c r="AD821" s="219">
        <v>5850</v>
      </c>
      <c r="AE821" s="219"/>
      <c r="AF821" s="219"/>
      <c r="AG821" s="219"/>
      <c r="AH821" s="219"/>
      <c r="AI821" s="219"/>
      <c r="AJ821" s="1"/>
      <c r="AN821" s="192"/>
      <c r="AO821" s="192"/>
      <c r="AP821" s="192"/>
      <c r="AQ821" s="192"/>
      <c r="AR821" s="192"/>
      <c r="AS821" s="192"/>
      <c r="AT821" s="192"/>
    </row>
    <row r="822" spans="2:46" x14ac:dyDescent="0.25">
      <c r="B822" s="187"/>
      <c r="C822" s="1"/>
      <c r="D822" s="186"/>
      <c r="E822" s="186"/>
      <c r="F822" s="186"/>
      <c r="G822" s="186"/>
      <c r="H822" s="186"/>
      <c r="I822" s="200"/>
      <c r="J822" s="200"/>
      <c r="K822" s="200"/>
      <c r="L822" s="200"/>
      <c r="M822" s="200"/>
      <c r="N822" s="200"/>
      <c r="O822" s="200"/>
      <c r="P822" s="200"/>
      <c r="Q822" s="200"/>
      <c r="R822" s="186"/>
      <c r="S822" s="186"/>
      <c r="T822" s="186"/>
      <c r="U822" s="186"/>
      <c r="V822" s="186"/>
      <c r="W822" s="186"/>
      <c r="X822" s="186"/>
    </row>
    <row r="823" spans="2:46" x14ac:dyDescent="0.25">
      <c r="B823" s="211" t="str">
        <f>IF($C$1="ENG","For additonal charge:","Послуги за додаткову плату:")</f>
        <v>Послуги за додаткову плату:</v>
      </c>
      <c r="C823" s="212"/>
      <c r="D823" s="213"/>
      <c r="E823" s="214" t="str">
        <f>CONCATENATE(B818," ",C818)</f>
        <v>ЦІНА з ПДВ</v>
      </c>
      <c r="F823" s="215"/>
      <c r="G823" s="215"/>
      <c r="H823" s="215"/>
      <c r="I823" s="215"/>
      <c r="J823" s="215"/>
      <c r="K823" s="215"/>
      <c r="L823" s="215"/>
      <c r="M823" s="215"/>
      <c r="N823" s="215"/>
      <c r="O823" s="215"/>
      <c r="P823" s="215"/>
      <c r="Q823" s="215"/>
      <c r="R823" s="215"/>
      <c r="S823" s="215"/>
      <c r="T823" s="215"/>
      <c r="U823" s="215"/>
      <c r="V823" s="215"/>
      <c r="W823" s="215"/>
      <c r="X823" s="186"/>
    </row>
    <row r="824" spans="2:46" x14ac:dyDescent="0.25">
      <c r="B824" s="187"/>
      <c r="C824" s="1"/>
      <c r="D824" s="186"/>
      <c r="E824" s="186"/>
      <c r="F824" s="186"/>
      <c r="G824" s="186"/>
      <c r="H824" s="186"/>
      <c r="I824" s="186"/>
      <c r="J824" s="186"/>
      <c r="K824" s="186"/>
      <c r="L824" s="186"/>
      <c r="M824" s="186"/>
      <c r="N824" s="186"/>
      <c r="O824" s="186"/>
      <c r="P824" s="186"/>
      <c r="Q824" s="186"/>
      <c r="R824" s="186"/>
      <c r="S824" s="186"/>
      <c r="T824" s="186"/>
      <c r="U824" s="186"/>
      <c r="V824" s="186"/>
      <c r="W824" s="186"/>
      <c r="X824" s="186"/>
    </row>
    <row r="825" spans="2:46" ht="15" customHeight="1" x14ac:dyDescent="0.25">
      <c r="B825" s="224"/>
      <c r="C825" s="223" t="str">
        <f>IF($C$1="ENG","third door hindge","третя завіса")</f>
        <v>третя завіса</v>
      </c>
      <c r="D825" s="236">
        <f>IF(AC825="","",(1-$W$2)*(AC825/1.2))</f>
        <v>75</v>
      </c>
      <c r="E825" s="227">
        <f>IF($W$5=0.2,D825*1.2,D825)/$W$4</f>
        <v>90</v>
      </c>
      <c r="F825" s="191"/>
      <c r="G825" s="229"/>
      <c r="H825" s="224"/>
      <c r="I825" s="223" t="str">
        <f>IF($C$1="ENG","door hindge Prestige (1 unit)","завіса Prestige (1 шт)")</f>
        <v>завіса Prestige (1 шт)</v>
      </c>
      <c r="J825" s="238">
        <f>IF(AF825="","",(1-$W$2)*(AF825/1.2))</f>
        <v>250</v>
      </c>
      <c r="K825" s="227">
        <f>IF($W$5=0.2,J825*1.2,J825)/$W$4</f>
        <v>300</v>
      </c>
      <c r="L825" s="191"/>
      <c r="M825" s="250"/>
      <c r="S825" s="186"/>
      <c r="T825" s="186"/>
      <c r="U825" s="186"/>
      <c r="V825" s="186"/>
      <c r="W825" s="186"/>
      <c r="X825" s="186"/>
      <c r="AC825" s="218">
        <v>90</v>
      </c>
      <c r="AF825" s="218">
        <v>300</v>
      </c>
      <c r="AI825" s="218"/>
    </row>
    <row r="826" spans="2:46" ht="15" customHeight="1" x14ac:dyDescent="0.25">
      <c r="B826" s="225"/>
      <c r="C826" s="222" t="str">
        <f>IF($C$1="ENG","glazing Triplex mat / black (Mod. B)","скло Триплекс мат. / чорний (Мод. Б)")</f>
        <v>скло Триплекс мат. / чорний (Мод. Б)</v>
      </c>
      <c r="D826" s="237">
        <f>IF(AC826="","",(1-$W$2)*(AC826/1.2))</f>
        <v>1083.3333333333335</v>
      </c>
      <c r="E826" s="228">
        <f>IF($W$5=0.2,D826*1.2,D826)/$W$4</f>
        <v>1300.0000000000002</v>
      </c>
      <c r="F826" s="191"/>
      <c r="G826" s="229"/>
      <c r="H826" s="224"/>
      <c r="I826" s="223" t="s">
        <v>67</v>
      </c>
      <c r="J826" s="238">
        <f>IF(AF826="","",(1-$W$2)*(AF826/1.2))</f>
        <v>75</v>
      </c>
      <c r="K826" s="227">
        <f>IF($W$5=0.2,J826*1.2,J826)/$W$4</f>
        <v>90</v>
      </c>
      <c r="L826" s="191"/>
      <c r="M826" s="250"/>
      <c r="S826" s="186"/>
      <c r="T826" s="186"/>
      <c r="U826" s="186"/>
      <c r="V826" s="186"/>
      <c r="W826" s="186"/>
      <c r="X826" s="186"/>
      <c r="AC826" s="218">
        <v>1300</v>
      </c>
      <c r="AF826" s="218">
        <v>90</v>
      </c>
      <c r="AI826" s="218"/>
    </row>
    <row r="827" spans="2:46" ht="15" customHeight="1" x14ac:dyDescent="0.25">
      <c r="B827" s="225"/>
      <c r="C827" s="222" t="str">
        <f>IF($C$1="ENG","glazing Graphite / Bronze (Mod. B)","скло Графіт / Бронза (Мод. Б)")</f>
        <v>скло Графіт / Бронза (Мод. Б)</v>
      </c>
      <c r="D827" s="237">
        <f>IF(AC827="","",(1-$W$2)*(AC827/1.2))</f>
        <v>708.33333333333337</v>
      </c>
      <c r="E827" s="228">
        <f>IF($W$5=0.2,D827*1.2,D827)/$W$4</f>
        <v>850</v>
      </c>
      <c r="F827" s="191"/>
      <c r="G827" s="230"/>
      <c r="H827" s="225"/>
      <c r="I827" s="222" t="str">
        <f>IF($C$1="ENG","perforated chipboard (Mod. A)","ДСП трубчасте (Мод. А)")</f>
        <v>ДСП трубчасте (Мод. А)</v>
      </c>
      <c r="J827" s="239">
        <f>IF(AF827="","",(1-$W$2)*(AF827/1.2))</f>
        <v>891.66666666666674</v>
      </c>
      <c r="K827" s="228">
        <f>IF($W$5=0.2,J827*1.2,J827)/$W$4</f>
        <v>1070</v>
      </c>
      <c r="L827" s="191"/>
      <c r="M827" s="250"/>
      <c r="S827" s="186"/>
      <c r="T827" s="186"/>
      <c r="U827" s="186"/>
      <c r="V827" s="186"/>
      <c r="W827" s="186"/>
      <c r="X827" s="186"/>
      <c r="AC827" s="218">
        <v>850</v>
      </c>
      <c r="AF827" s="218">
        <v>1070</v>
      </c>
      <c r="AI827" s="218"/>
    </row>
    <row r="828" spans="2:46" x14ac:dyDescent="0.25">
      <c r="C828" s="1"/>
      <c r="F828" s="191"/>
      <c r="G828" s="295"/>
      <c r="H828" s="296"/>
      <c r="I828" s="27"/>
      <c r="J828" s="27"/>
      <c r="K828" s="27"/>
      <c r="L828" s="250"/>
      <c r="M828" s="250"/>
      <c r="S828" s="186"/>
      <c r="T828" s="186"/>
      <c r="U828" s="186"/>
      <c r="V828" s="186"/>
      <c r="W828" s="186"/>
      <c r="X828" s="186"/>
    </row>
    <row r="829" spans="2:46" ht="14.25" customHeight="1" x14ac:dyDescent="0.25">
      <c r="C829" s="110"/>
      <c r="D829" s="21"/>
      <c r="E829" s="21"/>
      <c r="F829" s="21"/>
      <c r="G829" s="21"/>
      <c r="H829" s="5"/>
      <c r="M829" s="27"/>
    </row>
    <row r="830" spans="2:46" ht="14.25" customHeight="1" x14ac:dyDescent="0.25">
      <c r="C830" s="110"/>
      <c r="D830" s="21"/>
      <c r="E830" s="21"/>
      <c r="F830" s="21"/>
      <c r="G830" s="21"/>
      <c r="H830" s="5"/>
    </row>
    <row r="831" spans="2:46" ht="14.25" customHeight="1" x14ac:dyDescent="0.25">
      <c r="C831" s="110"/>
      <c r="D831" s="21"/>
      <c r="E831" s="21"/>
      <c r="F831" s="21"/>
      <c r="G831" s="21"/>
      <c r="H831" s="5"/>
      <c r="O831" s="27"/>
      <c r="S831" s="27"/>
      <c r="T831" s="27"/>
      <c r="U831" s="27"/>
      <c r="V831" s="27"/>
      <c r="W831" s="27"/>
    </row>
    <row r="832" spans="2:46" ht="14.25" customHeight="1" x14ac:dyDescent="0.25">
      <c r="C832" s="110"/>
      <c r="D832" s="21"/>
      <c r="E832" s="21"/>
      <c r="F832" s="21"/>
      <c r="G832" s="21"/>
      <c r="H832" s="5"/>
      <c r="O832" s="33"/>
      <c r="S832" s="33"/>
      <c r="T832" s="33"/>
      <c r="U832" s="33"/>
      <c r="V832" s="33"/>
      <c r="W832" s="33"/>
    </row>
    <row r="833" spans="3:23" ht="14.25" customHeight="1" x14ac:dyDescent="0.25">
      <c r="C833" s="110"/>
      <c r="D833" s="21"/>
      <c r="E833" s="21"/>
      <c r="F833" s="21"/>
      <c r="G833" s="21"/>
      <c r="H833" s="5"/>
      <c r="O833" s="92"/>
      <c r="S833" s="92"/>
      <c r="T833" s="92"/>
      <c r="U833" s="92"/>
      <c r="V833" s="92"/>
      <c r="W833" s="92"/>
    </row>
    <row r="834" spans="3:23" ht="14.25" customHeight="1" x14ac:dyDescent="0.25">
      <c r="C834" s="110"/>
      <c r="D834" s="21"/>
      <c r="E834" s="21"/>
      <c r="F834" s="21"/>
      <c r="G834" s="21"/>
      <c r="H834" s="5"/>
      <c r="O834" s="27"/>
      <c r="S834" s="27"/>
      <c r="T834" s="27"/>
      <c r="U834" s="27"/>
      <c r="V834" s="27"/>
      <c r="W834" s="27"/>
    </row>
    <row r="835" spans="3:23" ht="14.25" customHeight="1" x14ac:dyDescent="0.25">
      <c r="C835" s="110"/>
      <c r="D835" s="21"/>
      <c r="E835" s="21"/>
      <c r="F835" s="21"/>
      <c r="G835" s="21"/>
      <c r="H835" s="21"/>
      <c r="J835" s="21"/>
    </row>
    <row r="836" spans="3:23" ht="14.25" customHeight="1" x14ac:dyDescent="0.25">
      <c r="C836" s="110"/>
      <c r="D836" s="21"/>
      <c r="E836" s="21"/>
      <c r="F836" s="21"/>
      <c r="G836" s="21"/>
      <c r="H836" s="5"/>
    </row>
    <row r="837" spans="3:23" x14ac:dyDescent="0.25">
      <c r="C837" s="110"/>
      <c r="D837" s="21"/>
      <c r="E837" s="21"/>
    </row>
  </sheetData>
  <sheetProtection algorithmName="SHA-512" hashValue="qhBgTPUjOgmyjvGptebdFaFSJNAmzaMViufgzrpE5FPFlHmyduqDh6kdkNAm8lXzf/hkpR37IlVx4px7hYZB/g==" saltValue="xyirSrNoXLhCvNNAS6f4Zg==" spinCount="100000" sheet="1" insertColumns="0" insertRows="0" deleteColumns="0"/>
  <mergeCells count="14">
    <mergeCell ref="B7:C7"/>
    <mergeCell ref="T7:U7"/>
    <mergeCell ref="J7:K7"/>
    <mergeCell ref="P7:Q7"/>
    <mergeCell ref="R7:S7"/>
    <mergeCell ref="D7:E7"/>
    <mergeCell ref="N7:O7"/>
    <mergeCell ref="L7:M7"/>
    <mergeCell ref="V7:W7"/>
    <mergeCell ref="E4:I4"/>
    <mergeCell ref="F7:G7"/>
    <mergeCell ref="E1:K1"/>
    <mergeCell ref="E2:K2"/>
    <mergeCell ref="H7:I7"/>
  </mergeCells>
  <phoneticPr fontId="5" type="noConversion"/>
  <dataValidations count="1">
    <dataValidation type="list" allowBlank="1" showInputMessage="1" showErrorMessage="1" sqref="W5">
      <formula1>vat</formula1>
    </dataValidation>
  </dataValidations>
  <pageMargins left="0.23622047244094491" right="0.27559055118110237" top="0.27559055118110237" bottom="0.31496062992125984" header="0.27559055118110237" footer="0.31496062992125984"/>
  <pageSetup paperSize="9" scale="86" fitToHeight="50" orientation="landscape" r:id="rId1"/>
  <headerFooter alignWithMargins="0"/>
  <rowBreaks count="8" manualBreakCount="8">
    <brk id="38" max="18" man="1"/>
    <brk id="67" max="18" man="1"/>
    <brk id="97" max="18" man="1"/>
    <brk id="304" max="18" man="1"/>
    <brk id="496" max="18" man="1"/>
    <brk id="528" max="18" man="1"/>
    <brk id="717" max="18" man="1"/>
    <brk id="748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13"/>
  </sheetPr>
  <dimension ref="A1:BF212"/>
  <sheetViews>
    <sheetView showGridLines="0" zoomScale="70" zoomScaleNormal="70" workbookViewId="0">
      <pane ySplit="8" topLeftCell="A159" activePane="bottomLeft" state="frozen"/>
      <selection pane="bottomLeft" activeCell="O179" sqref="O179"/>
    </sheetView>
  </sheetViews>
  <sheetFormatPr defaultColWidth="9.109375" defaultRowHeight="13.2" x14ac:dyDescent="0.25"/>
  <cols>
    <col min="1" max="1" width="1" style="1" customWidth="1"/>
    <col min="2" max="2" width="15.6640625" style="1" customWidth="1"/>
    <col min="3" max="3" width="20.6640625" style="111" customWidth="1"/>
    <col min="4" max="4" width="6.6640625" style="1" hidden="1" customWidth="1"/>
    <col min="5" max="5" width="15.5546875" style="1" customWidth="1"/>
    <col min="6" max="6" width="6.6640625" style="1" hidden="1" customWidth="1"/>
    <col min="7" max="7" width="15.5546875" style="1" customWidth="1"/>
    <col min="8" max="8" width="6.6640625" style="1" hidden="1" customWidth="1"/>
    <col min="9" max="9" width="15.5546875" style="1" customWidth="1"/>
    <col min="10" max="10" width="6.6640625" style="1" hidden="1" customWidth="1"/>
    <col min="11" max="11" width="15.5546875" style="1" customWidth="1"/>
    <col min="12" max="12" width="6.6640625" style="1" hidden="1" customWidth="1"/>
    <col min="13" max="13" width="15.5546875" style="1" customWidth="1"/>
    <col min="14" max="14" width="6.6640625" style="1" hidden="1" customWidth="1"/>
    <col min="15" max="15" width="15.5546875" style="1" customWidth="1"/>
    <col min="16" max="16" width="6.6640625" style="1" hidden="1" customWidth="1"/>
    <col min="17" max="17" width="15.5546875" style="1" customWidth="1"/>
    <col min="18" max="18" width="6.6640625" style="1" hidden="1" customWidth="1"/>
    <col min="19" max="19" width="15.5546875" style="1" customWidth="1"/>
    <col min="20" max="20" width="6.6640625" style="1" hidden="1" customWidth="1"/>
    <col min="21" max="21" width="15.5546875" style="1" customWidth="1"/>
    <col min="22" max="22" width="6.6640625" style="1" hidden="1" customWidth="1"/>
    <col min="23" max="23" width="15.5546875" style="1" customWidth="1"/>
    <col min="24" max="27" width="10.6640625" style="1" hidden="1" customWidth="1"/>
    <col min="28" max="28" width="14.109375" style="1" hidden="1" customWidth="1"/>
    <col min="29" max="39" width="9.109375" style="1" hidden="1" customWidth="1"/>
    <col min="40" max="40" width="9.33203125" style="25" hidden="1" customWidth="1"/>
    <col min="41" max="46" width="9.109375" style="25" hidden="1" customWidth="1"/>
    <col min="47" max="51" width="9.109375" style="1" hidden="1" customWidth="1"/>
    <col min="52" max="73" width="9.109375" style="1" customWidth="1"/>
    <col min="74" max="16384" width="9.109375" style="1"/>
  </cols>
  <sheetData>
    <row r="1" spans="1:46" ht="12.75" customHeight="1" x14ac:dyDescent="0.25">
      <c r="B1" s="81" t="str">
        <f>TITLE!B2</f>
        <v>ВЕРСІЯ: 65.00.26</v>
      </c>
      <c r="C1" s="110" t="str">
        <f>TITLE!E4</f>
        <v>UA</v>
      </c>
      <c r="E1" s="336" t="str">
        <f>IF($C$1="ENG","51400, Pavlograd town, 9 Teroshkina Str","51400, м. Павлоград, вул. Терьошкіна, 9")</f>
        <v>51400, м. Павлоград, вул. Терьошкіна, 9</v>
      </c>
      <c r="F1" s="336"/>
      <c r="G1" s="336"/>
      <c r="H1" s="336"/>
      <c r="I1" s="336"/>
      <c r="J1" s="336"/>
      <c r="K1" s="336"/>
      <c r="N1" s="65"/>
      <c r="O1" s="65"/>
      <c r="R1" s="65"/>
      <c r="S1" s="65"/>
      <c r="V1" s="63"/>
      <c r="W1" s="64"/>
      <c r="AC1" s="126"/>
    </row>
    <row r="2" spans="1:46" x14ac:dyDescent="0.25">
      <c r="E2" s="337" t="str">
        <f>IF($C$1="ENG","e-mail: info@verto-doors.com, web-site: www.verto-doors.com","e-mail: info@verto-doors.com, web-site: www.verto-doors.com")</f>
        <v>e-mail: info@verto-doors.com, web-site: www.verto-doors.com</v>
      </c>
      <c r="F2" s="337"/>
      <c r="G2" s="337"/>
      <c r="H2" s="337"/>
      <c r="I2" s="337"/>
      <c r="J2" s="337"/>
      <c r="K2" s="337"/>
      <c r="U2" s="104" t="str">
        <f>IF($C$1="ENG","discount","знижка")</f>
        <v>знижка</v>
      </c>
      <c r="W2" s="48">
        <v>0</v>
      </c>
      <c r="AC2" s="127">
        <v>0.2</v>
      </c>
    </row>
    <row r="3" spans="1:46" ht="5.0999999999999996" customHeight="1" x14ac:dyDescent="0.25">
      <c r="E3" s="8"/>
      <c r="H3" s="2"/>
      <c r="J3" s="3"/>
      <c r="K3" s="4"/>
      <c r="V3" s="63"/>
      <c r="AC3" s="128">
        <v>0</v>
      </c>
    </row>
    <row r="4" spans="1:46" ht="12.75" customHeight="1" x14ac:dyDescent="0.25">
      <c r="E4" s="335" t="str">
        <f>IF($C$1="ENG","RETAIL PRICES FOR VERTO PRODUCTS","РОЗДРІБНІ ЦІНИ НА ПРОДУКЦІЮ ТМ VERTO")</f>
        <v>РОЗДРІБНІ ЦІНИ НА ПРОДУКЦІЮ ТМ VERTO</v>
      </c>
      <c r="F4" s="335"/>
      <c r="G4" s="335"/>
      <c r="H4" s="335"/>
      <c r="I4" s="335"/>
      <c r="U4" s="104" t="str">
        <f>IF($C$1="ENG","exchange rate (for 1 UAH)","курс валют (за 1 грн.)")</f>
        <v>курс валют (за 1 грн.)</v>
      </c>
      <c r="W4" s="105">
        <v>1</v>
      </c>
      <c r="AC4" s="126"/>
    </row>
    <row r="5" spans="1:46" x14ac:dyDescent="0.25">
      <c r="C5" s="110"/>
      <c r="D5" s="5"/>
      <c r="E5" s="103" t="str">
        <f>TITLE!D2</f>
        <v>діє з: 16 березня 2026 р.</v>
      </c>
      <c r="F5" s="5"/>
      <c r="G5" s="5"/>
      <c r="U5" s="106" t="str">
        <f>IF($C$1="ENG","VAT","ПДВ")</f>
        <v>ПДВ</v>
      </c>
      <c r="V5" s="107"/>
      <c r="W5" s="108">
        <v>0.2</v>
      </c>
      <c r="AC5" s="126"/>
    </row>
    <row r="6" spans="1:46" ht="5.0999999999999996" customHeight="1" x14ac:dyDescent="0.25">
      <c r="C6" s="110"/>
      <c r="D6" s="5"/>
      <c r="E6" s="5"/>
      <c r="F6" s="5"/>
      <c r="G6" s="5"/>
      <c r="AC6" s="126"/>
    </row>
    <row r="7" spans="1:46" ht="12.75" customHeight="1" x14ac:dyDescent="0.25">
      <c r="B7" s="362"/>
      <c r="C7" s="363"/>
      <c r="D7" s="360" t="str">
        <f>IF($C$1="ENG","Price","Ціна")</f>
        <v>Ціна</v>
      </c>
      <c r="E7" s="361"/>
      <c r="F7" s="360" t="str">
        <f>IF($C$1="ENG","Price","Ціна")</f>
        <v>Ціна</v>
      </c>
      <c r="G7" s="361"/>
      <c r="H7" s="360" t="str">
        <f>IF($C$1="ENG","Price","Ціна")</f>
        <v>Ціна</v>
      </c>
      <c r="I7" s="361"/>
      <c r="J7" s="360" t="str">
        <f>IF($C$1="ENG","Price","Ціна")</f>
        <v>Ціна</v>
      </c>
      <c r="K7" s="361"/>
      <c r="L7" s="360" t="str">
        <f>IF($C$1="ENG","Price","Ціна")</f>
        <v>Ціна</v>
      </c>
      <c r="M7" s="361"/>
      <c r="N7" s="360" t="str">
        <f>IF($C$1="ENG","Price","Ціна")</f>
        <v>Ціна</v>
      </c>
      <c r="O7" s="361"/>
      <c r="P7" s="360" t="str">
        <f>IF($C$1="ENG","Price","Ціна")</f>
        <v>Ціна</v>
      </c>
      <c r="Q7" s="361"/>
      <c r="R7" s="360" t="str">
        <f>IF($C$1="ENG","Price","Ціна")</f>
        <v>Ціна</v>
      </c>
      <c r="S7" s="361"/>
      <c r="T7" s="360" t="str">
        <f>IF($C$1="ENG","Price","Ціна")</f>
        <v>Ціна</v>
      </c>
      <c r="U7" s="361"/>
      <c r="V7" s="360" t="str">
        <f>IF($C$1="ENG","Price","Ціна")</f>
        <v>Ціна</v>
      </c>
      <c r="W7" s="361"/>
      <c r="AC7" s="126" t="s">
        <v>48</v>
      </c>
      <c r="AD7" s="126" t="s">
        <v>49</v>
      </c>
      <c r="AE7" s="126" t="s">
        <v>50</v>
      </c>
      <c r="AF7" s="126" t="s">
        <v>51</v>
      </c>
      <c r="AG7" s="126" t="s">
        <v>52</v>
      </c>
      <c r="AH7" s="126" t="s">
        <v>53</v>
      </c>
      <c r="AI7" s="126" t="s">
        <v>54</v>
      </c>
      <c r="AJ7" s="126" t="s">
        <v>55</v>
      </c>
      <c r="AK7" s="126" t="s">
        <v>59</v>
      </c>
      <c r="AL7" s="126" t="s">
        <v>60</v>
      </c>
    </row>
    <row r="8" spans="1:46" x14ac:dyDescent="0.25">
      <c r="B8" s="356" t="str">
        <f>IF($C$1="ENG","Products","Асортимент")</f>
        <v>Асортимент</v>
      </c>
      <c r="C8" s="357"/>
      <c r="D8" s="6" t="s">
        <v>56</v>
      </c>
      <c r="E8" s="7" t="str">
        <f>IF($C$1="ENG",IF($W$5=0.2,"with VAT","no VAT"),IF($W$5=0.2,"з ПДВ","без ПДВ"))</f>
        <v>з ПДВ</v>
      </c>
      <c r="F8" s="6" t="s">
        <v>56</v>
      </c>
      <c r="G8" s="7" t="str">
        <f>IF($C$1="ENG",IF($W$5=0.2,"with VAT","no VAT"),IF($W$5=0.2,"з ПДВ","без ПДВ"))</f>
        <v>з ПДВ</v>
      </c>
      <c r="H8" s="6" t="s">
        <v>56</v>
      </c>
      <c r="I8" s="7" t="str">
        <f>IF($C$1="ENG",IF($W$5=0.2,"with VAT","no VAT"),IF($W$5=0.2,"з ПДВ","без ПДВ"))</f>
        <v>з ПДВ</v>
      </c>
      <c r="J8" s="6" t="s">
        <v>56</v>
      </c>
      <c r="K8" s="7" t="str">
        <f>IF($C$1="ENG",IF($W$5=0.2,"with VAT","no VAT"),IF($W$5=0.2,"з ПДВ","без ПДВ"))</f>
        <v>з ПДВ</v>
      </c>
      <c r="L8" s="6" t="s">
        <v>56</v>
      </c>
      <c r="M8" s="7" t="str">
        <f>IF($C$1="ENG",IF($W$5=0.2,"with VAT","no VAT"),IF($W$5=0.2,"з ПДВ","без ПДВ"))</f>
        <v>з ПДВ</v>
      </c>
      <c r="N8" s="6" t="s">
        <v>56</v>
      </c>
      <c r="O8" s="7" t="str">
        <f>IF($C$1="ENG",IF($W$5=0.2,"with VAT","no VAT"),IF($W$5=0.2,"з ПДВ","без ПДВ"))</f>
        <v>з ПДВ</v>
      </c>
      <c r="P8" s="6" t="s">
        <v>56</v>
      </c>
      <c r="Q8" s="7" t="str">
        <f>IF($C$1="ENG",IF($W$5=0.2,"with VAT","no VAT"),IF($W$5=0.2,"з ПДВ","без ПДВ"))</f>
        <v>з ПДВ</v>
      </c>
      <c r="R8" s="6" t="s">
        <v>56</v>
      </c>
      <c r="S8" s="7" t="str">
        <f>IF($C$1="ENG",IF($W$5=0.2,"with VAT","no VAT"),IF($W$5=0.2,"з ПДВ","без ПДВ"))</f>
        <v>з ПДВ</v>
      </c>
      <c r="T8" s="6" t="s">
        <v>56</v>
      </c>
      <c r="U8" s="7" t="str">
        <f>IF($C$1="ENG",IF($W$5=0.2,"with VAT","no VAT"),IF($W$5=0.2,"з ПДВ","без ПДВ"))</f>
        <v>з ПДВ</v>
      </c>
      <c r="V8" s="6" t="s">
        <v>56</v>
      </c>
      <c r="W8" s="7" t="str">
        <f>IF($C$1="ENG",IF($W$5=0.2,"with VAT","no VAT"),IF($W$5=0.2,"з ПДВ","без ПДВ"))</f>
        <v>з ПДВ</v>
      </c>
      <c r="AC8" s="126"/>
      <c r="AD8" s="126"/>
      <c r="AE8" s="126"/>
      <c r="AF8" s="126"/>
      <c r="AG8" s="126"/>
      <c r="AH8" s="126"/>
      <c r="AI8" s="126"/>
      <c r="AJ8" s="126"/>
      <c r="AK8" s="126"/>
      <c r="AL8" s="126"/>
    </row>
    <row r="10" spans="1:46" x14ac:dyDescent="0.25">
      <c r="C10" s="110"/>
      <c r="D10" s="21"/>
      <c r="E10" s="21"/>
      <c r="F10" s="21"/>
      <c r="G10" s="21"/>
      <c r="H10" s="5"/>
    </row>
    <row r="11" spans="1:46" s="8" customFormat="1" ht="24.9" customHeight="1" x14ac:dyDescent="0.25">
      <c r="B11" s="246" t="str">
        <f>TITLE!$C$37</f>
        <v>Розсувна система Verto-SLIDE</v>
      </c>
      <c r="C11" s="244"/>
      <c r="D11" s="245"/>
      <c r="E11" s="245"/>
      <c r="F11" s="216"/>
      <c r="G11" s="216"/>
      <c r="H11" s="216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185"/>
      <c r="AN11" s="123"/>
      <c r="AO11" s="123"/>
      <c r="AP11" s="123"/>
      <c r="AQ11" s="123"/>
      <c r="AR11" s="123"/>
      <c r="AS11" s="123"/>
      <c r="AT11" s="123"/>
    </row>
    <row r="12" spans="1:46" x14ac:dyDescent="0.25">
      <c r="A12" s="8"/>
      <c r="B12" s="91"/>
      <c r="C12" s="162"/>
      <c r="D12" s="9"/>
      <c r="E12" s="9"/>
      <c r="F12" s="10"/>
      <c r="G12" s="10"/>
      <c r="H12" s="84"/>
      <c r="I12" s="84"/>
      <c r="J12" s="8"/>
      <c r="K12" s="8"/>
      <c r="L12" s="32"/>
      <c r="M12" s="32"/>
      <c r="N12" s="31"/>
      <c r="O12" s="31"/>
      <c r="P12" s="32"/>
      <c r="Q12" s="32"/>
      <c r="R12" s="31"/>
      <c r="S12" s="31"/>
      <c r="T12" s="33"/>
    </row>
    <row r="13" spans="1:46" ht="12.75" customHeight="1" x14ac:dyDescent="0.25">
      <c r="A13" s="8"/>
      <c r="B13" s="358" t="str">
        <f>IF($C$1="ENG","(without door)","(без полотна)")</f>
        <v>(без полотна)</v>
      </c>
      <c r="C13" s="85" t="str">
        <f>IF($C$1="ENG","cover:","покриття:")</f>
        <v>покриття:</v>
      </c>
      <c r="D13" s="344" t="str">
        <f>IF($C$1="ENG","SIMPL / V-CELL","SIMPL / V-CELL")</f>
        <v>SIMPL / V-CELL</v>
      </c>
      <c r="E13" s="345"/>
      <c r="F13" s="344" t="str">
        <f>IF($C$1="ENG","UNI-MAT","UNI-MAT")</f>
        <v>UNI-MAT</v>
      </c>
      <c r="G13" s="345"/>
      <c r="H13" s="344" t="str">
        <f>IF($C$1="ENG","RESIST","RESIST")</f>
        <v>RESIST</v>
      </c>
      <c r="I13" s="345"/>
      <c r="J13" s="344" t="str">
        <f>IF($C$1="ENG","Verto LINE-3D","Verto LINE-3D")</f>
        <v>Verto LINE-3D</v>
      </c>
      <c r="K13" s="345"/>
      <c r="L13" s="344" t="str">
        <f>IF($C$1="ENG","Premium / LOFT ","Premium/ ЛОФТ")</f>
        <v>Premium/ ЛОФТ</v>
      </c>
      <c r="M13" s="345"/>
      <c r="N13" s="31"/>
      <c r="O13" s="31"/>
      <c r="R13" s="31"/>
      <c r="S13" s="31"/>
      <c r="T13" s="33"/>
      <c r="AD13" s="147">
        <f>AD15/AC15-1</f>
        <v>3.6781609195402298E-2</v>
      </c>
      <c r="AE13" s="147">
        <f>AE15/AD15-1</f>
        <v>2.7716186252771724E-2</v>
      </c>
      <c r="AF13" s="147">
        <f>AF15/AE15-1</f>
        <v>8.4142394822006583E-2</v>
      </c>
      <c r="AG13" s="147">
        <f>AG15/AF15-1</f>
        <v>5.6716417910447792E-2</v>
      </c>
    </row>
    <row r="14" spans="1:46" ht="12.75" customHeight="1" x14ac:dyDescent="0.25">
      <c r="A14" s="8"/>
      <c r="B14" s="359"/>
      <c r="C14" s="86" t="str">
        <f>IF($C$1="ENG","type:","виконання:")</f>
        <v>виконання:</v>
      </c>
      <c r="D14" s="342" t="str">
        <f>IF($C$1="ENG","single leaf","одностулкове")</f>
        <v>одностулкове</v>
      </c>
      <c r="E14" s="343"/>
      <c r="F14" s="342" t="str">
        <f>IF($C$1="ENG","single leaf","одностулкове")</f>
        <v>одностулкове</v>
      </c>
      <c r="G14" s="343"/>
      <c r="H14" s="342" t="str">
        <f>IF($C$1="ENG","single leaf","одностулкове")</f>
        <v>одностулкове</v>
      </c>
      <c r="I14" s="343"/>
      <c r="J14" s="342" t="str">
        <f>IF($C$1="ENG","single leaf","одностулкове")</f>
        <v>одностулкове</v>
      </c>
      <c r="K14" s="343"/>
      <c r="L14" s="342" t="str">
        <f>IF($C$1="ENG","single leaf","одностулкове")</f>
        <v>одностулкове</v>
      </c>
      <c r="M14" s="343"/>
      <c r="N14" s="23"/>
      <c r="O14" s="24"/>
      <c r="R14" s="23"/>
      <c r="S14" s="24"/>
      <c r="T14" s="35"/>
      <c r="U14" s="24"/>
      <c r="W14" s="24"/>
      <c r="X14" s="18"/>
      <c r="Y14" s="18"/>
      <c r="Z14" s="18"/>
      <c r="AA14" s="18"/>
      <c r="AB14" s="18"/>
    </row>
    <row r="15" spans="1:46" ht="34.5" customHeight="1" x14ac:dyDescent="0.25">
      <c r="B15" s="300" t="str">
        <f>IF($C$1="ENG","Sliding system","Розсувна система")</f>
        <v>Розсувна система</v>
      </c>
      <c r="C15" s="143"/>
      <c r="D15" s="34">
        <f>IF(AC15="","",(1-$W$2)*(AC15/1.2))</f>
        <v>3625</v>
      </c>
      <c r="E15" s="61">
        <f>IF($W$5=0.2,D15*1.2,D15)/$W$4</f>
        <v>4350</v>
      </c>
      <c r="F15" s="34">
        <f>IF(AD15="","",(1-$W$2)*(AD15/1.2))</f>
        <v>3758.3333333333335</v>
      </c>
      <c r="G15" s="61">
        <f>IF($W$5=0.2,F15*1.2,F15)/$W$4</f>
        <v>4510</v>
      </c>
      <c r="H15" s="34">
        <f>IF(AE15="","",(1-$W$2)*(AE15/1.2))</f>
        <v>3862.5</v>
      </c>
      <c r="I15" s="61">
        <f>IF($W$5=0.2,H15*1.2,H15)/$W$4</f>
        <v>4635</v>
      </c>
      <c r="J15" s="34">
        <f>IF(AF15="","",(1-$W$2)*(AF15/1.2))</f>
        <v>4187.5</v>
      </c>
      <c r="K15" s="61">
        <f>IF($W$5=0.2,J15*1.2,J15)/$W$4</f>
        <v>5025</v>
      </c>
      <c r="L15" s="34">
        <f>IF(AG15="","",(1-$W$2)*(AG15/1.2))</f>
        <v>4425</v>
      </c>
      <c r="M15" s="61">
        <f>IF($W$5=0.2,L15*1.2,L15)/$W$4</f>
        <v>5310</v>
      </c>
      <c r="AC15" s="144">
        <v>4350</v>
      </c>
      <c r="AD15" s="144">
        <v>4510</v>
      </c>
      <c r="AE15" s="144">
        <v>4635</v>
      </c>
      <c r="AF15" s="144">
        <v>5025</v>
      </c>
      <c r="AG15" s="144">
        <v>5310</v>
      </c>
      <c r="AH15" s="129">
        <v>3780</v>
      </c>
      <c r="AI15" s="129">
        <f>AH15/AC15-1</f>
        <v>-0.13103448275862073</v>
      </c>
      <c r="AJ15" s="129">
        <v>3920</v>
      </c>
      <c r="AK15" s="129">
        <f>AJ15/AD15-1</f>
        <v>-0.13082039911308208</v>
      </c>
      <c r="AL15" s="129">
        <v>4030</v>
      </c>
      <c r="AM15" s="129">
        <f>AL15/AE15-1</f>
        <v>-0.13052858683926649</v>
      </c>
      <c r="AN15" s="129">
        <v>4370</v>
      </c>
      <c r="AO15" s="129">
        <f>AN15/AF15-1</f>
        <v>-0.13034825870646771</v>
      </c>
      <c r="AP15" s="129">
        <v>4620</v>
      </c>
      <c r="AQ15" s="129">
        <f>AP15/AG15-1</f>
        <v>-0.12994350282485878</v>
      </c>
    </row>
    <row r="16" spans="1:46" x14ac:dyDescent="0.25">
      <c r="C16" s="110"/>
      <c r="D16" s="21"/>
      <c r="E16" s="21"/>
      <c r="F16" s="21"/>
      <c r="G16" s="21"/>
      <c r="H16" s="5"/>
      <c r="L16" s="8"/>
    </row>
    <row r="17" spans="1:58" ht="12.75" customHeight="1" x14ac:dyDescent="0.25">
      <c r="B17" s="211" t="str">
        <f>IF($C$1="ENG","For additonal charge:","Послуги за додаткову плату:")</f>
        <v>Послуги за додаткову плату:</v>
      </c>
      <c r="C17" s="212"/>
      <c r="D17" s="213"/>
      <c r="E17" s="214"/>
      <c r="F17" s="213"/>
      <c r="G17" s="213"/>
      <c r="H17" s="297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</row>
    <row r="18" spans="1:58" ht="4.5" customHeight="1" x14ac:dyDescent="0.25">
      <c r="B18" s="22"/>
      <c r="C18" s="110"/>
      <c r="D18" s="21"/>
      <c r="E18" s="38"/>
      <c r="F18" s="21"/>
      <c r="G18" s="21"/>
      <c r="H18" s="10"/>
      <c r="I18" s="8"/>
      <c r="J18" s="8"/>
      <c r="K18" s="8"/>
    </row>
    <row r="19" spans="1:58" ht="14.25" customHeight="1" x14ac:dyDescent="0.25">
      <c r="B19" s="351" t="str">
        <f>IF($C$1="ENG","Door lock hatch","відповідна планка замка")</f>
        <v>відповідна планка замка</v>
      </c>
      <c r="C19" s="352"/>
      <c r="D19" s="34">
        <f>IF(AC19="","",(1-$W$2)*(AC19/1.2))</f>
        <v>104.16666666666667</v>
      </c>
      <c r="E19" s="61">
        <f>IF($W$5=0.2,D19*1.2,D19)/$W$4</f>
        <v>125</v>
      </c>
      <c r="F19" s="21"/>
      <c r="G19" s="21"/>
      <c r="H19" s="10"/>
      <c r="I19" s="60"/>
      <c r="J19" s="8"/>
      <c r="K19" s="8"/>
      <c r="AC19" s="130">
        <v>125</v>
      </c>
      <c r="AD19" s="129"/>
      <c r="AE19" s="129"/>
      <c r="AF19" s="129"/>
      <c r="AG19" s="129"/>
      <c r="AH19" s="129"/>
      <c r="AI19" s="129"/>
      <c r="AJ19" s="129"/>
      <c r="AK19" s="129"/>
      <c r="AL19" s="129"/>
    </row>
    <row r="20" spans="1:58" x14ac:dyDescent="0.25">
      <c r="B20" s="68"/>
      <c r="C20" s="68"/>
      <c r="D20" s="69"/>
      <c r="E20" s="39"/>
      <c r="F20" s="21"/>
      <c r="G20" s="21"/>
      <c r="I20" s="11"/>
      <c r="J20" s="11"/>
      <c r="K20" s="16"/>
      <c r="T20" s="341"/>
      <c r="U20" s="341"/>
      <c r="V20" s="341"/>
      <c r="W20" s="341"/>
    </row>
    <row r="21" spans="1:58" x14ac:dyDescent="0.25">
      <c r="C21" s="110"/>
      <c r="D21" s="21"/>
      <c r="E21" s="21"/>
      <c r="F21" s="21"/>
      <c r="G21" s="21"/>
      <c r="H21" s="5"/>
      <c r="I21" s="21"/>
    </row>
    <row r="22" spans="1:58" x14ac:dyDescent="0.25">
      <c r="C22" s="110"/>
      <c r="D22" s="21"/>
      <c r="E22" s="21"/>
      <c r="F22" s="21"/>
      <c r="G22" s="21"/>
      <c r="H22" s="5"/>
      <c r="I22" s="21"/>
    </row>
    <row r="23" spans="1:58" x14ac:dyDescent="0.25">
      <c r="C23" s="110"/>
      <c r="D23" s="21"/>
      <c r="E23" s="21"/>
      <c r="F23" s="21"/>
      <c r="G23" s="38"/>
      <c r="H23" s="5"/>
      <c r="I23" s="21"/>
    </row>
    <row r="24" spans="1:58" s="8" customFormat="1" ht="24.9" customHeight="1" x14ac:dyDescent="0.25">
      <c r="B24" s="246" t="str">
        <f>TITLE!$C$40</f>
        <v>Дверна коробка STANDARD</v>
      </c>
      <c r="C24" s="244"/>
      <c r="D24" s="245"/>
      <c r="E24" s="299" t="str">
        <f>IF($C$1="ENG","For Door Leafs with Rebbit","Для Дверних Полотен з Фальцем")</f>
        <v>Для Дверних Полотен з Фальцем</v>
      </c>
      <c r="F24" s="216"/>
      <c r="G24" s="216"/>
      <c r="H24" s="216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185"/>
      <c r="AN24" s="123"/>
      <c r="AO24" s="123"/>
      <c r="AP24" s="123"/>
      <c r="AQ24" s="123"/>
      <c r="AR24" s="123"/>
      <c r="AS24" s="123"/>
      <c r="AT24" s="123"/>
    </row>
    <row r="25" spans="1:58" s="8" customFormat="1" x14ac:dyDescent="0.25">
      <c r="C25" s="163"/>
      <c r="L25" s="93"/>
      <c r="M25" s="93"/>
      <c r="N25" s="93"/>
      <c r="O25" s="93"/>
      <c r="P25" s="93"/>
      <c r="Q25" s="93"/>
      <c r="R25" s="93"/>
      <c r="S25" s="93"/>
      <c r="T25" s="94"/>
      <c r="U25" s="94"/>
      <c r="V25" s="94"/>
      <c r="W25" s="94"/>
      <c r="AN25" s="123"/>
      <c r="AO25" s="123"/>
      <c r="AP25" s="123"/>
      <c r="AQ25" s="123"/>
      <c r="AR25" s="123"/>
      <c r="AS25" s="123"/>
      <c r="AT25" s="123"/>
    </row>
    <row r="26" spans="1:58" ht="12.75" customHeight="1" x14ac:dyDescent="0.25">
      <c r="A26" s="8"/>
      <c r="B26" s="133" t="str">
        <f>IF($C$1="ENG","model","модель")</f>
        <v>модель</v>
      </c>
      <c r="C26" s="85" t="str">
        <f>IF($C$1="ENG","cover:","покриття:")</f>
        <v>покриття:</v>
      </c>
      <c r="D26" s="344" t="str">
        <f>IF($C$1="ENG","SIMPLEX / VERTO-CELL ","SIMPLEX / VERTO-CELL")</f>
        <v>SIMPLEX / VERTO-CELL</v>
      </c>
      <c r="E26" s="353"/>
      <c r="F26" s="353"/>
      <c r="G26" s="345"/>
      <c r="H26" s="344" t="str">
        <f>IF($C$1="ENG","UNI-MAT","UNI-MAT")</f>
        <v>UNI-MAT</v>
      </c>
      <c r="I26" s="353"/>
      <c r="J26" s="353"/>
      <c r="K26" s="345"/>
      <c r="L26" s="344" t="str">
        <f>IF($C$1="ENG","RESIST","RESIST")</f>
        <v>RESIST</v>
      </c>
      <c r="M26" s="353"/>
      <c r="N26" s="353"/>
      <c r="O26" s="345"/>
      <c r="P26" s="344" t="str">
        <f>IF($C$1="ENG","Verto LINE-3D","Verto LINE-3D")</f>
        <v>Verto LINE-3D</v>
      </c>
      <c r="Q26" s="353"/>
      <c r="R26" s="353"/>
      <c r="S26" s="345"/>
      <c r="T26" s="344" t="str">
        <f>IF($C$1="ENG","Premium / LOFT","Premium/ LOFT")</f>
        <v>Premium/ LOFT</v>
      </c>
      <c r="U26" s="353"/>
      <c r="V26" s="353"/>
      <c r="W26" s="345"/>
      <c r="AE26" s="147">
        <f>AE28/AC28-1</f>
        <v>0.1333333333333333</v>
      </c>
      <c r="AF26" s="147"/>
      <c r="AG26" s="147">
        <f>AG28/AE28-1</f>
        <v>3.7815126050420256E-2</v>
      </c>
    </row>
    <row r="27" spans="1:58" ht="12.75" customHeight="1" x14ac:dyDescent="0.25">
      <c r="A27" s="8"/>
      <c r="B27" s="135"/>
      <c r="C27" s="86" t="str">
        <f>IF($C$1="ENG","type:","виконання:")</f>
        <v>виконання:</v>
      </c>
      <c r="D27" s="342" t="str">
        <f>IF($C$1="ENG","single leaf","одностулкове")</f>
        <v>одностулкове</v>
      </c>
      <c r="E27" s="348"/>
      <c r="F27" s="355" t="str">
        <f>IF($C$1="ENG","double leaf","двостулкові")</f>
        <v>двостулкові</v>
      </c>
      <c r="G27" s="343"/>
      <c r="H27" s="342" t="str">
        <f>IF($C$1="ENG","single leaf","одностулкове")</f>
        <v>одностулкове</v>
      </c>
      <c r="I27" s="348"/>
      <c r="J27" s="355" t="str">
        <f>IF($C$1="ENG","double leaf","двостулкові")</f>
        <v>двостулкові</v>
      </c>
      <c r="K27" s="343"/>
      <c r="L27" s="342" t="str">
        <f>IF($C$1="ENG","single leaf","одностулкове")</f>
        <v>одностулкове</v>
      </c>
      <c r="M27" s="348"/>
      <c r="N27" s="349" t="str">
        <f>IF($C$1="ENG","double leaf","двостулкові")</f>
        <v>двостулкові</v>
      </c>
      <c r="O27" s="343"/>
      <c r="P27" s="342" t="str">
        <f>IF($C$1="ENG","single leaf","одностулкове")</f>
        <v>одностулкове</v>
      </c>
      <c r="Q27" s="348"/>
      <c r="R27" s="349" t="str">
        <f>IF($C$1="ENG","double leaf","двостулкові")</f>
        <v>двостулкові</v>
      </c>
      <c r="S27" s="343"/>
      <c r="T27" s="342" t="str">
        <f>IF($C$1="ENG","single leaf","одностулкове")</f>
        <v>одностулкове</v>
      </c>
      <c r="U27" s="348"/>
      <c r="V27" s="349" t="str">
        <f>IF($C$1="ENG","double leaf","двостулкові")</f>
        <v>двостулкові</v>
      </c>
      <c r="W27" s="343"/>
      <c r="AR27" s="147"/>
    </row>
    <row r="28" spans="1:58" ht="34.5" customHeight="1" x14ac:dyDescent="0.25">
      <c r="A28" s="8"/>
      <c r="B28" s="301" t="str">
        <f>IF($C$1="ENG","Door Frame 80 mm MDF","Коробка МДФ 80 мм")</f>
        <v>Коробка МДФ 80 мм</v>
      </c>
      <c r="C28" s="304"/>
      <c r="D28" s="13">
        <f>IF(AC28="","",(1-$W$2)*(AC28/1.2))</f>
        <v>1750</v>
      </c>
      <c r="E28" s="114">
        <f>IF($W$5=0.2,D28*1.2,D28)/$W$4</f>
        <v>2100</v>
      </c>
      <c r="F28" s="117">
        <f>IF(AD28="","",(1-$W$2)*(AD28/1.2))</f>
        <v>2450</v>
      </c>
      <c r="G28" s="43">
        <f>IF($W$5=0.2,F28*1.2,F28)/$W$4</f>
        <v>2940</v>
      </c>
      <c r="H28" s="13">
        <f>IF(AE28="","",(1-$W$2)*(AE28/1.2))</f>
        <v>1983.3333333333335</v>
      </c>
      <c r="I28" s="114">
        <f>IF($W$5=0.2,H28*1.2,H28)/$W$4</f>
        <v>2380</v>
      </c>
      <c r="J28" s="117">
        <f>IF(AF28="","",(1-$W$2)*(AF28/1.2))</f>
        <v>2766.666666666667</v>
      </c>
      <c r="K28" s="43">
        <f>IF($W$5=0.2,J28*1.2,J28)/$W$4</f>
        <v>3320.0000000000005</v>
      </c>
      <c r="L28" s="13">
        <f>IF(AG28="","",(1-$W$2)*(AG28/1.2))</f>
        <v>2058.3333333333335</v>
      </c>
      <c r="M28" s="114">
        <f>IF($W$5=0.2,L28*1.2,L28)/$W$4</f>
        <v>2470</v>
      </c>
      <c r="N28" s="117">
        <f>IF(AH28="","",(1-$W$2)*(AH28/1.2))</f>
        <v>2883.3333333333335</v>
      </c>
      <c r="O28" s="43">
        <f>IF($W$5=0.2,N28*1.2,N28)/$W$4</f>
        <v>3460</v>
      </c>
      <c r="P28" s="13">
        <f>IF(AI28="","",(1-$W$2)*(AI28/1.2))</f>
        <v>2270.8333333333335</v>
      </c>
      <c r="Q28" s="114">
        <f>IF($W$5=0.2,P28*1.2,P28)/$W$4</f>
        <v>2725</v>
      </c>
      <c r="R28" s="117">
        <f>IF(AJ28="","",(1-$W$2)*(AJ28/1.2))</f>
        <v>3183.3333333333335</v>
      </c>
      <c r="S28" s="43">
        <f>IF($W$5=0.2,R28*1.2,R28)/$W$4</f>
        <v>3820</v>
      </c>
      <c r="T28" s="13">
        <f>IF(AK28="","",(1-$W$2)*(AK28/1.2))</f>
        <v>2441.666666666667</v>
      </c>
      <c r="U28" s="114">
        <f>IF($W$5=0.2,T28*1.2,T28)/$W$4</f>
        <v>2930.0000000000005</v>
      </c>
      <c r="V28" s="117">
        <f>IF(AL28="","",(1-$W$2)*(AL28/1.2))</f>
        <v>3416.666666666667</v>
      </c>
      <c r="W28" s="43">
        <f>IF($W$5=0.2,V28*1.2,V28)/$W$4</f>
        <v>4100</v>
      </c>
      <c r="X28" s="18"/>
      <c r="Y28" s="18"/>
      <c r="Z28" s="18"/>
      <c r="AA28" s="18"/>
      <c r="AB28" s="18"/>
      <c r="AC28" s="153">
        <v>2100</v>
      </c>
      <c r="AD28" s="154">
        <v>2940</v>
      </c>
      <c r="AE28" s="155">
        <v>2380</v>
      </c>
      <c r="AF28" s="154">
        <v>3320</v>
      </c>
      <c r="AG28" s="153">
        <v>2470</v>
      </c>
      <c r="AH28" s="154">
        <v>3460</v>
      </c>
      <c r="AI28" s="153">
        <v>2725</v>
      </c>
      <c r="AJ28" s="154">
        <v>3820</v>
      </c>
      <c r="AK28" s="153">
        <v>2930</v>
      </c>
      <c r="AL28" s="154">
        <v>4100</v>
      </c>
      <c r="AM28" s="146">
        <v>1830</v>
      </c>
      <c r="AN28" s="136">
        <f>AM28/AC28-1</f>
        <v>-0.12857142857142856</v>
      </c>
      <c r="AO28" s="146">
        <v>2560</v>
      </c>
      <c r="AP28" s="136">
        <f>AO28/AD28-1</f>
        <v>-0.12925170068027214</v>
      </c>
      <c r="AQ28" s="146">
        <v>2070</v>
      </c>
      <c r="AR28" s="136">
        <f>AQ28/AE28-1</f>
        <v>-0.13025210084033612</v>
      </c>
      <c r="AS28" s="146">
        <v>2890</v>
      </c>
      <c r="AT28" s="136">
        <f>AS28/AF28-1</f>
        <v>-0.12951807228915657</v>
      </c>
      <c r="AU28" s="146">
        <v>2150</v>
      </c>
      <c r="AV28" s="136">
        <f>AU28/AG28-1</f>
        <v>-0.12955465587044535</v>
      </c>
      <c r="AW28" s="146">
        <v>3000</v>
      </c>
      <c r="AX28" s="136"/>
      <c r="AY28" s="146"/>
      <c r="AZ28" s="136"/>
      <c r="BA28" s="146"/>
      <c r="BB28" s="136"/>
      <c r="BC28" s="146"/>
      <c r="BD28" s="136"/>
      <c r="BE28" s="146"/>
      <c r="BF28" s="136"/>
    </row>
    <row r="29" spans="1:58" ht="34.5" customHeight="1" x14ac:dyDescent="0.25">
      <c r="A29" s="8"/>
      <c r="B29" s="302" t="str">
        <f>IF($C$1="ENG","Door Frame 80 mm Wood","Коробка Дерев'яна 80 мм")</f>
        <v>Коробка Дерев'яна 80 мм</v>
      </c>
      <c r="C29" s="124"/>
      <c r="D29" s="20">
        <f>IF(AC29="","",(1-$W$2)*(AC29/1.2))</f>
        <v>2125</v>
      </c>
      <c r="E29" s="116">
        <f>IF($W$5=0.2,D29*1.2,D29)/$W$4</f>
        <v>2550</v>
      </c>
      <c r="F29" s="119">
        <f>IF(AD29="","",(1-$W$2)*(AD29/1.2))</f>
        <v>2950</v>
      </c>
      <c r="G29" s="47">
        <f>IF($W$5=0.2,F29*1.2,F29)/$W$4</f>
        <v>3540</v>
      </c>
      <c r="H29" s="20">
        <f>IF(AE29="","",(1-$W$2)*(AE29/1.2))</f>
        <v>2416.666666666667</v>
      </c>
      <c r="I29" s="116">
        <f>IF($W$5=0.2,H29*1.2,H29)/$W$4</f>
        <v>2900.0000000000005</v>
      </c>
      <c r="J29" s="119">
        <f>IF(AF29="","",(1-$W$2)*(AF29/1.2))</f>
        <v>3383.3333333333335</v>
      </c>
      <c r="K29" s="47">
        <f>IF($W$5=0.2,J29*1.2,J29)/$W$4</f>
        <v>4060</v>
      </c>
      <c r="L29" s="20">
        <f>IF(AG29="","",(1-$W$2)*(AG29/1.2))</f>
        <v>2566.666666666667</v>
      </c>
      <c r="M29" s="116">
        <f>IF($W$5=0.2,L29*1.2,L29)/$W$4</f>
        <v>3080.0000000000005</v>
      </c>
      <c r="N29" s="119">
        <f>IF(AH29="","",(1-$W$2)*(AH29/1.2))</f>
        <v>3591.666666666667</v>
      </c>
      <c r="O29" s="47">
        <f>IF($W$5=0.2,N29*1.2,N29)/$W$4</f>
        <v>4310</v>
      </c>
      <c r="P29" s="20">
        <f>IF(AI29="","",(1-$W$2)*(AI29/1.2))</f>
        <v>2816.666666666667</v>
      </c>
      <c r="Q29" s="116">
        <f>IF($W$5=0.2,P29*1.2,P29)/$W$4</f>
        <v>3380.0000000000005</v>
      </c>
      <c r="R29" s="119">
        <f>IF(AJ29="","",(1-$W$2)*(AJ29/1.2))</f>
        <v>3933.3333333333335</v>
      </c>
      <c r="S29" s="47">
        <f>IF($W$5=0.2,R29*1.2,R29)/$W$4</f>
        <v>4720</v>
      </c>
      <c r="T29" s="20">
        <f>IF(AK29="","",(1-$W$2)*(AK29/1.2))</f>
        <v>3108.3333333333335</v>
      </c>
      <c r="U29" s="116">
        <f>IF($W$5=0.2,T29*1.2,T29)/$W$4</f>
        <v>3730</v>
      </c>
      <c r="V29" s="119">
        <f>IF(AL29="","",(1-$W$2)*(AL29/1.2))</f>
        <v>4341.666666666667</v>
      </c>
      <c r="W29" s="47">
        <f>IF($W$5=0.2,V29*1.2,V29)/$W$4</f>
        <v>5210</v>
      </c>
      <c r="X29" s="18"/>
      <c r="Y29" s="18"/>
      <c r="Z29" s="18"/>
      <c r="AA29" s="18"/>
      <c r="AB29" s="18"/>
      <c r="AC29" s="153">
        <v>2550</v>
      </c>
      <c r="AD29" s="154">
        <v>3540</v>
      </c>
      <c r="AE29" s="155">
        <v>2900</v>
      </c>
      <c r="AF29" s="154">
        <v>4060</v>
      </c>
      <c r="AG29" s="153">
        <v>3080</v>
      </c>
      <c r="AH29" s="154">
        <v>4310</v>
      </c>
      <c r="AI29" s="153">
        <v>3380</v>
      </c>
      <c r="AJ29" s="154">
        <v>4720</v>
      </c>
      <c r="AK29" s="153">
        <v>3730</v>
      </c>
      <c r="AL29" s="154">
        <v>5210</v>
      </c>
      <c r="AM29" s="146">
        <v>2220</v>
      </c>
      <c r="AN29" s="136">
        <f>AM29/AC29-1</f>
        <v>-0.12941176470588234</v>
      </c>
      <c r="AO29" s="146">
        <v>3120</v>
      </c>
      <c r="AP29" s="136">
        <f>AO29/AD29-1</f>
        <v>-0.11864406779661019</v>
      </c>
      <c r="AQ29" s="146">
        <v>2520</v>
      </c>
      <c r="AR29" s="136">
        <f>AQ29/AE29-1</f>
        <v>-0.13103448275862073</v>
      </c>
      <c r="AS29" s="146">
        <v>3530</v>
      </c>
      <c r="AT29" s="136">
        <f>AS29/AF29-1</f>
        <v>-0.13054187192118227</v>
      </c>
      <c r="AU29" s="146">
        <v>2680</v>
      </c>
      <c r="AV29" s="136">
        <f>AU29/AG29-1</f>
        <v>-0.12987012987012991</v>
      </c>
      <c r="AW29" s="146">
        <v>3750</v>
      </c>
      <c r="AX29" s="136"/>
      <c r="AY29" s="146"/>
      <c r="AZ29" s="136"/>
      <c r="BA29" s="146"/>
      <c r="BB29" s="136"/>
      <c r="BC29" s="146"/>
      <c r="BD29" s="136"/>
      <c r="BE29" s="146"/>
      <c r="BF29" s="136"/>
    </row>
    <row r="30" spans="1:58" s="33" customFormat="1" ht="24" customHeight="1" x14ac:dyDescent="0.25">
      <c r="B30" s="36" t="str">
        <f>IF($C$1="ENG","MASKING ARCHITRAVES","ЛИШТВА")</f>
        <v>ЛИШТВА</v>
      </c>
      <c r="C30" s="164"/>
      <c r="D30" s="23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AM30" s="149"/>
      <c r="AN30" s="37"/>
      <c r="AO30" s="37"/>
      <c r="AP30" s="37"/>
      <c r="AQ30" s="37"/>
      <c r="AR30" s="37"/>
      <c r="AS30" s="37"/>
      <c r="AT30" s="37"/>
    </row>
    <row r="31" spans="1:58" ht="34.5" customHeight="1" x14ac:dyDescent="0.25">
      <c r="A31" s="8"/>
      <c r="B31" s="301" t="str">
        <f>IF($C$1="ENG","Straight (set for 1 side) 60 mm","Прямокутна (1 к-т) 60 мм")</f>
        <v>Прямокутна (1 к-т) 60 мм</v>
      </c>
      <c r="C31" s="165"/>
      <c r="D31" s="13">
        <f>IF(AC31="","",(1-$W$2)*(AC31/1.2))</f>
        <v>491.66666666666669</v>
      </c>
      <c r="E31" s="131">
        <f>IF($W$5=0.2,D31*1.2,D31)/$W$4</f>
        <v>590</v>
      </c>
      <c r="F31" s="117">
        <f>IF(AD31="","",(1-$W$2)*(AD31/1.2))</f>
        <v>633.33333333333337</v>
      </c>
      <c r="G31" s="43">
        <f>IF($W$5=0.2,F31*1.2,F31)/$W$4</f>
        <v>760</v>
      </c>
      <c r="H31" s="13">
        <f>IF(AE31="","",(1-$W$2)*(AE31/1.2))</f>
        <v>566.66666666666674</v>
      </c>
      <c r="I31" s="114">
        <f>IF($W$5=0.2,H31*1.2,H31)/$W$4</f>
        <v>680.00000000000011</v>
      </c>
      <c r="J31" s="117">
        <f>IF(AF31="","",(1-$W$2)*(AF31/1.2))</f>
        <v>725</v>
      </c>
      <c r="K31" s="43">
        <f>IF($W$5=0.2,J31*1.2,J31)/$W$4</f>
        <v>870</v>
      </c>
      <c r="L31" s="13">
        <f>IF(AG31="","",(1-$W$2)*(AG31/1.2))</f>
        <v>658.33333333333337</v>
      </c>
      <c r="M31" s="114">
        <f>IF($W$5=0.2,L31*1.2,L31)/$W$4</f>
        <v>790</v>
      </c>
      <c r="N31" s="117">
        <f>IF(AH31="","",(1-$W$2)*(AH31/1.2))</f>
        <v>850</v>
      </c>
      <c r="O31" s="43">
        <f>IF($W$5=0.2,N31*1.2,N31)/$W$4</f>
        <v>1020</v>
      </c>
      <c r="P31" s="13">
        <f>IF(AI31="","",(1-$W$2)*(AI31/1.2))</f>
        <v>758.33333333333337</v>
      </c>
      <c r="Q31" s="114">
        <f>IF($W$5=0.2,P31*1.2,P31)/$W$4</f>
        <v>910</v>
      </c>
      <c r="R31" s="117">
        <f>IF(AJ31="","",(1-$W$2)*(AJ31/1.2))</f>
        <v>983.33333333333337</v>
      </c>
      <c r="S31" s="43">
        <f>IF($W$5=0.2,R31*1.2,R31)/$W$4</f>
        <v>1180</v>
      </c>
      <c r="T31" s="13">
        <f>IF(AK31="","",(1-$W$2)*(AK31/1.2))</f>
        <v>825</v>
      </c>
      <c r="U31" s="114">
        <f>IF($W$5=0.2,T31*1.2,T31)/$W$4</f>
        <v>990</v>
      </c>
      <c r="V31" s="117">
        <f>IF(AL31="","",(1-$W$2)*(AL31/1.2))</f>
        <v>1075</v>
      </c>
      <c r="W31" s="43">
        <f>IF($W$5=0.2,V31*1.2,V31)/$W$4</f>
        <v>1290</v>
      </c>
      <c r="X31" s="18"/>
      <c r="Y31" s="18"/>
      <c r="Z31" s="18"/>
      <c r="AA31" s="18"/>
      <c r="AB31" s="18"/>
      <c r="AC31" s="144">
        <v>590</v>
      </c>
      <c r="AD31" s="144">
        <v>760</v>
      </c>
      <c r="AE31" s="144">
        <v>680</v>
      </c>
      <c r="AF31" s="144">
        <v>870</v>
      </c>
      <c r="AG31" s="144">
        <v>790</v>
      </c>
      <c r="AH31" s="144">
        <v>1020</v>
      </c>
      <c r="AI31" s="144">
        <v>910</v>
      </c>
      <c r="AJ31" s="144">
        <v>1180</v>
      </c>
      <c r="AK31" s="144">
        <v>990</v>
      </c>
      <c r="AL31" s="144">
        <v>1290</v>
      </c>
      <c r="AM31" s="146">
        <v>510</v>
      </c>
      <c r="AN31" s="136">
        <f>AM31/AC31-1</f>
        <v>-0.13559322033898302</v>
      </c>
      <c r="AO31" s="146">
        <v>660</v>
      </c>
      <c r="AP31" s="157">
        <f>AO31/AD31-1</f>
        <v>-0.13157894736842102</v>
      </c>
      <c r="AQ31" s="146">
        <v>590</v>
      </c>
      <c r="AR31" s="157">
        <f>AQ31/AE31-1</f>
        <v>-0.13235294117647056</v>
      </c>
      <c r="AS31" s="146">
        <v>760</v>
      </c>
      <c r="AT31" s="157">
        <f>AS31/AF31-1</f>
        <v>-0.12643678160919536</v>
      </c>
      <c r="AU31" s="146">
        <v>690</v>
      </c>
      <c r="AV31" s="157">
        <f>AU31/AG31-1</f>
        <v>-0.12658227848101267</v>
      </c>
      <c r="AW31" s="1">
        <v>890</v>
      </c>
      <c r="AX31" s="147"/>
      <c r="AZ31" s="147"/>
      <c r="BB31" s="147"/>
      <c r="BD31" s="147"/>
      <c r="BF31" s="147"/>
    </row>
    <row r="32" spans="1:58" ht="34.5" customHeight="1" x14ac:dyDescent="0.25">
      <c r="A32" s="8"/>
      <c r="B32" s="302" t="str">
        <f>IF($C$1="ENG","Straight (set for 1 side) 80 mm","Прямокутна (1 к-т) 80 мм")</f>
        <v>Прямокутна (1 к-т) 80 мм</v>
      </c>
      <c r="C32" s="166"/>
      <c r="D32" s="20">
        <f>IF(AC32="","",(1-$W$2)*(AC32/1.2))</f>
        <v>575</v>
      </c>
      <c r="E32" s="116">
        <f>IF($W$5=0.2,D32*1.2,D32)/$W$4</f>
        <v>690</v>
      </c>
      <c r="F32" s="119">
        <f>IF(AD32="","",(1-$W$2)*(AD32/1.2))</f>
        <v>741.66666666666674</v>
      </c>
      <c r="G32" s="47">
        <f>IF($W$5=0.2,F32*1.2,F32)/$W$4</f>
        <v>890.00000000000011</v>
      </c>
      <c r="H32" s="20">
        <f>IF(AE32="","",(1-$W$2)*(AE32/1.2))</f>
        <v>666.66666666666674</v>
      </c>
      <c r="I32" s="116">
        <f>IF($W$5=0.2,H32*1.2,H32)/$W$4</f>
        <v>800.00000000000011</v>
      </c>
      <c r="J32" s="119">
        <f>IF(AF32="","",(1-$W$2)*(AF32/1.2))</f>
        <v>866.66666666666674</v>
      </c>
      <c r="K32" s="47">
        <f>IF($W$5=0.2,J32*1.2,J32)/$W$4</f>
        <v>1040</v>
      </c>
      <c r="L32" s="20">
        <f>IF(AG32="","",(1-$W$2)*(AG32/1.2))</f>
        <v>816.66666666666674</v>
      </c>
      <c r="M32" s="116">
        <f>IF($W$5=0.2,L32*1.2,L32)/$W$4</f>
        <v>980</v>
      </c>
      <c r="N32" s="119">
        <f>IF(AH32="","",(1-$W$2)*(AH32/1.2))</f>
        <v>1058.3333333333335</v>
      </c>
      <c r="O32" s="47">
        <f>IF($W$5=0.2,N32*1.2,N32)/$W$4</f>
        <v>1270.0000000000002</v>
      </c>
      <c r="P32" s="20">
        <f>IF(AI32="","",(1-$W$2)*(AI32/1.2))</f>
        <v>933.33333333333337</v>
      </c>
      <c r="Q32" s="116">
        <f>IF($W$5=0.2,P32*1.2,P32)/$W$4</f>
        <v>1120</v>
      </c>
      <c r="R32" s="119">
        <f>IF(AJ32="","",(1-$W$2)*(AJ32/1.2))</f>
        <v>1200</v>
      </c>
      <c r="S32" s="47">
        <f>IF($W$5=0.2,R32*1.2,R32)/$W$4</f>
        <v>1440</v>
      </c>
      <c r="T32" s="20">
        <f>IF(AK32="","",(1-$W$2)*(AK32/1.2))</f>
        <v>1000</v>
      </c>
      <c r="U32" s="116">
        <f>IF($W$5=0.2,T32*1.2,T32)/$W$4</f>
        <v>1200</v>
      </c>
      <c r="V32" s="119">
        <f>IF(AL32="","",(1-$W$2)*(AL32/1.2))</f>
        <v>1291.6666666666667</v>
      </c>
      <c r="W32" s="47">
        <f>IF($W$5=0.2,V32*1.2,V32)/$W$4</f>
        <v>1550</v>
      </c>
      <c r="X32" s="18"/>
      <c r="Y32" s="18"/>
      <c r="Z32" s="18"/>
      <c r="AA32" s="18"/>
      <c r="AB32" s="18"/>
      <c r="AC32" s="144">
        <v>690</v>
      </c>
      <c r="AD32" s="144">
        <v>890</v>
      </c>
      <c r="AE32" s="144">
        <v>800</v>
      </c>
      <c r="AF32" s="144">
        <v>1040</v>
      </c>
      <c r="AG32" s="144">
        <v>980</v>
      </c>
      <c r="AH32" s="144">
        <v>1270</v>
      </c>
      <c r="AI32" s="144">
        <v>1120</v>
      </c>
      <c r="AJ32" s="144">
        <v>1440</v>
      </c>
      <c r="AK32" s="144">
        <v>1200</v>
      </c>
      <c r="AL32" s="144">
        <v>1550</v>
      </c>
      <c r="AM32" s="146">
        <v>600</v>
      </c>
      <c r="AN32" s="136">
        <f>AM32/AC32-1</f>
        <v>-0.13043478260869568</v>
      </c>
      <c r="AO32" s="146">
        <v>770</v>
      </c>
      <c r="AP32" s="157">
        <f>AO32/AD32-1</f>
        <v>-0.1348314606741573</v>
      </c>
      <c r="AQ32" s="146">
        <v>700</v>
      </c>
      <c r="AR32" s="157">
        <f>AQ32/AE32-1</f>
        <v>-0.125</v>
      </c>
      <c r="AS32" s="146">
        <v>900</v>
      </c>
      <c r="AT32" s="157">
        <f>AS32/AF32-1</f>
        <v>-0.13461538461538458</v>
      </c>
      <c r="AU32" s="146">
        <v>850</v>
      </c>
      <c r="AV32" s="157">
        <f>AU32/AG32-1</f>
        <v>-0.13265306122448983</v>
      </c>
      <c r="AW32" s="1">
        <v>1100</v>
      </c>
      <c r="AX32" s="147"/>
      <c r="AZ32" s="147"/>
      <c r="BB32" s="147"/>
      <c r="BD32" s="147"/>
      <c r="BF32" s="147"/>
    </row>
    <row r="33" spans="1:49" s="33" customFormat="1" ht="24.75" customHeight="1" x14ac:dyDescent="0.25">
      <c r="B33" s="36" t="str">
        <f>IF($C$1="ENG","ADJUSTABLE PANELS","ДОБІРНІ ПЛАНКИ")</f>
        <v>ДОБІРНІ ПЛАНКИ</v>
      </c>
      <c r="C33" s="164"/>
      <c r="D33" s="23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>
        <f>V36/100*30</f>
        <v>965.00000000000011</v>
      </c>
      <c r="W33" s="39"/>
      <c r="AN33" s="136"/>
      <c r="AP33" s="25"/>
      <c r="AQ33" s="37"/>
      <c r="AR33" s="25"/>
      <c r="AS33" s="37"/>
      <c r="AT33" s="25"/>
      <c r="AV33" s="1"/>
    </row>
    <row r="34" spans="1:49" ht="34.5" customHeight="1" x14ac:dyDescent="0.25">
      <c r="A34" s="8"/>
      <c r="B34" s="301" t="str">
        <f>IF($C$1="ENG","Panel (1 set) 60 mm","Планка (1 к-т) 60 мм")</f>
        <v>Планка (1 к-т) 60 мм</v>
      </c>
      <c r="C34" s="171"/>
      <c r="D34" s="13">
        <f>IF(AC34="","",(1-$W$2)*(AC34/1.2))</f>
        <v>491.66666666666669</v>
      </c>
      <c r="E34" s="131">
        <f>IF($W$5=0.2,D34*1.2,D34)/$W$4</f>
        <v>590</v>
      </c>
      <c r="F34" s="117">
        <f>IF(AD34="","",(1-$W$2)*(AD34/1.2))</f>
        <v>633.33333333333337</v>
      </c>
      <c r="G34" s="43">
        <f>IF($W$5=0.2,F34*1.2,F34)/$W$4</f>
        <v>760</v>
      </c>
      <c r="H34" s="13">
        <f>IF(AE34="","",(1-$W$2)*(AE34/1.2))</f>
        <v>566.66666666666674</v>
      </c>
      <c r="I34" s="114">
        <f>IF($W$5=0.2,H34*1.2,H34)/$W$4</f>
        <v>680.00000000000011</v>
      </c>
      <c r="J34" s="117">
        <f>IF(AF34="","",(1-$W$2)*(AF34/1.2))</f>
        <v>725</v>
      </c>
      <c r="K34" s="43">
        <f>IF($W$5=0.2,J34*1.2,J34)/$W$4</f>
        <v>870</v>
      </c>
      <c r="L34" s="13">
        <f>IF(AG34="","",(1-$W$2)*(AG34/1.2))</f>
        <v>658.33333333333337</v>
      </c>
      <c r="M34" s="114">
        <f>IF($W$5=0.2,L34*1.2,L34)/$W$4</f>
        <v>790</v>
      </c>
      <c r="N34" s="117">
        <f>IF(AH34="","",(1-$W$2)*(AH34/1.2))</f>
        <v>850</v>
      </c>
      <c r="O34" s="43">
        <f>IF($W$5=0.2,N34*1.2,N34)/$W$4</f>
        <v>1020</v>
      </c>
      <c r="P34" s="13">
        <f>IF(AI34="","",(1-$W$2)*(AI34/1.2))</f>
        <v>758.33333333333337</v>
      </c>
      <c r="Q34" s="114">
        <f>IF($W$5=0.2,P34*1.2,P34)/$W$4</f>
        <v>910</v>
      </c>
      <c r="R34" s="117">
        <f>IF(AJ34="","",(1-$W$2)*(AJ34/1.2))</f>
        <v>983.33333333333337</v>
      </c>
      <c r="S34" s="43">
        <f>IF($W$5=0.2,R34*1.2,R34)/$W$4</f>
        <v>1180</v>
      </c>
      <c r="T34" s="13">
        <f>IF(AK34="","",(1-$W$2)*(AK34/1.2))</f>
        <v>825</v>
      </c>
      <c r="U34" s="114">
        <f>IF($W$5=0.2,T34*1.2,T34)/$W$4</f>
        <v>990</v>
      </c>
      <c r="V34" s="117">
        <f>IF(AL34="","",(1-$W$2)*(AL34/1.2))</f>
        <v>1075</v>
      </c>
      <c r="W34" s="43">
        <f>IF($W$5=0.2,V34*1.2,V34)/$W$4</f>
        <v>1290</v>
      </c>
      <c r="X34" s="18"/>
      <c r="Y34" s="18"/>
      <c r="Z34" s="18"/>
      <c r="AA34" s="18"/>
      <c r="AB34" s="18"/>
      <c r="AC34" s="144">
        <v>590</v>
      </c>
      <c r="AD34" s="144">
        <v>760</v>
      </c>
      <c r="AE34" s="144">
        <v>680</v>
      </c>
      <c r="AF34" s="144">
        <v>870</v>
      </c>
      <c r="AG34" s="144">
        <v>790</v>
      </c>
      <c r="AH34" s="144">
        <v>1020</v>
      </c>
      <c r="AI34" s="144">
        <v>910</v>
      </c>
      <c r="AJ34" s="144">
        <v>1180</v>
      </c>
      <c r="AK34" s="144">
        <v>990</v>
      </c>
      <c r="AL34" s="144">
        <v>1290</v>
      </c>
      <c r="AM34" s="146">
        <v>510</v>
      </c>
      <c r="AN34" s="136">
        <f>AM34/AC34-1</f>
        <v>-0.13559322033898302</v>
      </c>
      <c r="AO34" s="146">
        <v>660</v>
      </c>
      <c r="AP34" s="156">
        <f>AO34/AD34-1</f>
        <v>-0.13157894736842102</v>
      </c>
      <c r="AQ34" s="146">
        <v>590</v>
      </c>
      <c r="AR34" s="156">
        <f>AQ34/AE34-1</f>
        <v>-0.13235294117647056</v>
      </c>
      <c r="AS34" s="146">
        <v>760</v>
      </c>
      <c r="AT34" s="156">
        <f>AS34/AF34-1</f>
        <v>-0.12643678160919536</v>
      </c>
      <c r="AU34" s="146">
        <v>690</v>
      </c>
      <c r="AV34" s="156">
        <f>AU34/AG34-1</f>
        <v>-0.12658227848101267</v>
      </c>
      <c r="AW34" s="1">
        <v>890</v>
      </c>
    </row>
    <row r="35" spans="1:49" ht="34.5" customHeight="1" x14ac:dyDescent="0.25">
      <c r="A35" s="8"/>
      <c r="B35" s="303" t="str">
        <f>IF($C$1="ENG","Panel (1 set) 110 mm","Планка (1 к-т) 110 мм")</f>
        <v>Планка (1 к-т) 110 мм</v>
      </c>
      <c r="C35" s="172"/>
      <c r="D35" s="15">
        <f>IF(AC35="","",(1-$W$2)*(AC35/1.2))</f>
        <v>758.33333333333337</v>
      </c>
      <c r="E35" s="115">
        <f>IF($W$5=0.2,D35*1.2,D35)/$W$4</f>
        <v>910</v>
      </c>
      <c r="F35" s="118">
        <f>IF(AD35="","",(1-$W$2)*(AD35/1.2))</f>
        <v>983.33333333333337</v>
      </c>
      <c r="G35" s="45">
        <f>IF($W$5=0.2,F35*1.2,F35)/$W$4</f>
        <v>1180</v>
      </c>
      <c r="H35" s="15">
        <f>IF(AE35="","",(1-$W$2)*(AE35/1.2))</f>
        <v>883.33333333333337</v>
      </c>
      <c r="I35" s="115">
        <f>IF($W$5=0.2,H35*1.2,H35)/$W$4</f>
        <v>1060</v>
      </c>
      <c r="J35" s="118">
        <f>IF(AF35="","",(1-$W$2)*(AF35/1.2))</f>
        <v>1100</v>
      </c>
      <c r="K35" s="45">
        <f>IF($W$5=0.2,J35*1.2,J35)/$W$4</f>
        <v>1320</v>
      </c>
      <c r="L35" s="15">
        <f>IF(AG35="","",(1-$W$2)*(AG35/1.2))</f>
        <v>1000</v>
      </c>
      <c r="M35" s="115">
        <f>IF($W$5=0.2,L35*1.2,L35)/$W$4</f>
        <v>1200</v>
      </c>
      <c r="N35" s="118">
        <f>IF(AH35="","",(1-$W$2)*(AH35/1.2))</f>
        <v>1300</v>
      </c>
      <c r="O35" s="45">
        <f>IF($W$5=0.2,N35*1.2,N35)/$W$4</f>
        <v>1560</v>
      </c>
      <c r="P35" s="15">
        <f>IF(AI35="","",(1-$W$2)*(AI35/1.2))</f>
        <v>1166.6666666666667</v>
      </c>
      <c r="Q35" s="115">
        <f>IF($W$5=0.2,P35*1.2,P35)/$W$4</f>
        <v>1400</v>
      </c>
      <c r="R35" s="118">
        <f>IF(AJ35="","",(1-$W$2)*(AJ35/1.2))</f>
        <v>1525</v>
      </c>
      <c r="S35" s="45">
        <f>IF($W$5=0.2,R35*1.2,R35)/$W$4</f>
        <v>1830</v>
      </c>
      <c r="T35" s="15">
        <f>IF(AK35="","",(1-$W$2)*(AK35/1.2))</f>
        <v>1250</v>
      </c>
      <c r="U35" s="115">
        <f>IF($W$5=0.2,T35*1.2,T35)/$W$4</f>
        <v>1500</v>
      </c>
      <c r="V35" s="118">
        <f>IF(AL35="","",(1-$W$2)*(AL35/1.2))</f>
        <v>1641.6666666666667</v>
      </c>
      <c r="W35" s="45">
        <f>IF($W$5=0.2,V35*1.2,V35)/$W$4</f>
        <v>1970</v>
      </c>
      <c r="X35" s="18"/>
      <c r="Y35" s="18"/>
      <c r="Z35" s="18"/>
      <c r="AA35" s="18"/>
      <c r="AB35" s="18"/>
      <c r="AC35" s="144">
        <v>910</v>
      </c>
      <c r="AD35" s="144">
        <v>1180</v>
      </c>
      <c r="AE35" s="144">
        <v>1060</v>
      </c>
      <c r="AF35" s="144">
        <v>1320</v>
      </c>
      <c r="AG35" s="144">
        <v>1200</v>
      </c>
      <c r="AH35" s="144">
        <v>1560</v>
      </c>
      <c r="AI35" s="144">
        <v>1400</v>
      </c>
      <c r="AJ35" s="144">
        <v>1830</v>
      </c>
      <c r="AK35" s="144">
        <v>1500</v>
      </c>
      <c r="AL35" s="144">
        <v>1970</v>
      </c>
      <c r="AM35" s="146">
        <v>790</v>
      </c>
      <c r="AN35" s="136">
        <f>AM35/AC35-1</f>
        <v>-0.13186813186813184</v>
      </c>
      <c r="AO35" s="146">
        <v>1030</v>
      </c>
      <c r="AP35" s="156">
        <f>AO35/AD35-1</f>
        <v>-0.1271186440677966</v>
      </c>
      <c r="AQ35" s="146">
        <v>920</v>
      </c>
      <c r="AR35" s="156">
        <f>AQ35/AE35-1</f>
        <v>-0.13207547169811318</v>
      </c>
      <c r="AS35" s="146">
        <v>1150</v>
      </c>
      <c r="AT35" s="156">
        <f>AS35/AF35-1</f>
        <v>-0.12878787878787878</v>
      </c>
      <c r="AU35" s="146">
        <v>1040</v>
      </c>
      <c r="AV35" s="156">
        <f>AU35/AG35-1</f>
        <v>-0.1333333333333333</v>
      </c>
      <c r="AW35" s="1">
        <v>1360</v>
      </c>
    </row>
    <row r="36" spans="1:49" ht="34.5" customHeight="1" x14ac:dyDescent="0.25">
      <c r="A36" s="8"/>
      <c r="B36" s="302" t="str">
        <f>IF($C$1="ENG","Panel (1 set) 200 mm","Планка (1 к-т) 200 мм")</f>
        <v>Планка (1 к-т) 200 мм</v>
      </c>
      <c r="C36" s="173"/>
      <c r="D36" s="20">
        <f>IF(AC36="","",(1-$W$2)*(AC36/1.2))</f>
        <v>1475</v>
      </c>
      <c r="E36" s="116">
        <f>IF($W$5=0.2,D36*1.2,D36)/$W$4</f>
        <v>1770</v>
      </c>
      <c r="F36" s="119">
        <f>IF(AD36="","",(1-$W$2)*(AD36/1.2))</f>
        <v>1916.6666666666667</v>
      </c>
      <c r="G36" s="47">
        <f>IF($W$5=0.2,F36*1.2,F36)/$W$4</f>
        <v>2300</v>
      </c>
      <c r="H36" s="20">
        <f>IF(AE36="","",(1-$W$2)*(AE36/1.2))</f>
        <v>1695.8333333333335</v>
      </c>
      <c r="I36" s="116">
        <f>IF($W$5=0.2,H36*1.2,H36)/$W$4</f>
        <v>2035</v>
      </c>
      <c r="J36" s="119">
        <f>IF(AF36="","",(1-$W$2)*(AF36/1.2))</f>
        <v>2225</v>
      </c>
      <c r="K36" s="47">
        <f>IF($W$5=0.2,J36*1.2,J36)/$W$4</f>
        <v>2670</v>
      </c>
      <c r="L36" s="20">
        <f>IF(AG36="","",(1-$W$2)*(AG36/1.2))</f>
        <v>2016.6666666666667</v>
      </c>
      <c r="M36" s="116">
        <f>IF($W$5=0.2,L36*1.2,L36)/$W$4</f>
        <v>2420</v>
      </c>
      <c r="N36" s="119">
        <f>IF(AH36="","",(1-$W$2)*(AH36/1.2))</f>
        <v>2625</v>
      </c>
      <c r="O36" s="47">
        <f>IF($W$5=0.2,N36*1.2,N36)/$W$4</f>
        <v>3150</v>
      </c>
      <c r="P36" s="20">
        <f>IF(AI36="","",(1-$W$2)*(AI36/1.2))</f>
        <v>2316.666666666667</v>
      </c>
      <c r="Q36" s="116">
        <f>IF($W$5=0.2,P36*1.2,P36)/$W$4</f>
        <v>2780.0000000000005</v>
      </c>
      <c r="R36" s="119">
        <f>IF(AJ36="","",(1-$W$2)*(AJ36/1.2))</f>
        <v>3016.666666666667</v>
      </c>
      <c r="S36" s="47">
        <f>IF($W$5=0.2,R36*1.2,R36)/$W$4</f>
        <v>3620.0000000000005</v>
      </c>
      <c r="T36" s="20">
        <f>IF(AK36="","",(1-$W$2)*(AK36/1.2))</f>
        <v>2483.3333333333335</v>
      </c>
      <c r="U36" s="116">
        <f>IF($W$5=0.2,T36*1.2,T36)/$W$4</f>
        <v>2980</v>
      </c>
      <c r="V36" s="119">
        <f>IF(AL36="","",(1-$W$2)*(AL36/1.2))</f>
        <v>3216.666666666667</v>
      </c>
      <c r="W36" s="47">
        <f>IF($W$5=0.2,V36*1.2,V36)/$W$4</f>
        <v>3860</v>
      </c>
      <c r="X36" s="18"/>
      <c r="Y36" s="18"/>
      <c r="Z36" s="18"/>
      <c r="AA36" s="18"/>
      <c r="AB36" s="18"/>
      <c r="AC36" s="144">
        <v>1770</v>
      </c>
      <c r="AD36" s="144">
        <v>2300</v>
      </c>
      <c r="AE36" s="144">
        <v>2035</v>
      </c>
      <c r="AF36" s="144">
        <v>2670</v>
      </c>
      <c r="AG36" s="144">
        <v>2420</v>
      </c>
      <c r="AH36" s="144">
        <v>3150</v>
      </c>
      <c r="AI36" s="144">
        <v>2780</v>
      </c>
      <c r="AJ36" s="144">
        <v>3620</v>
      </c>
      <c r="AK36" s="144">
        <v>2980</v>
      </c>
      <c r="AL36" s="144">
        <v>3860</v>
      </c>
      <c r="AM36" s="146">
        <v>1540</v>
      </c>
      <c r="AN36" s="136">
        <f>AM36/AC36-1</f>
        <v>-0.12994350282485878</v>
      </c>
      <c r="AO36" s="146">
        <v>2000</v>
      </c>
      <c r="AP36" s="156">
        <f>AO36/AD36-1</f>
        <v>-0.13043478260869568</v>
      </c>
      <c r="AQ36" s="146">
        <v>1770</v>
      </c>
      <c r="AR36" s="156">
        <f>AQ36/AE36-1</f>
        <v>-0.13022113022113024</v>
      </c>
      <c r="AS36" s="146">
        <v>2320</v>
      </c>
      <c r="AT36" s="156">
        <f>AS36/AF36-1</f>
        <v>-0.13108614232209737</v>
      </c>
      <c r="AU36" s="146">
        <v>2100</v>
      </c>
      <c r="AV36" s="156">
        <f>AU36/AG36-1</f>
        <v>-0.13223140495867769</v>
      </c>
      <c r="AW36" s="1">
        <v>2740</v>
      </c>
    </row>
    <row r="37" spans="1:49" x14ac:dyDescent="0.25">
      <c r="C37" s="110"/>
      <c r="D37" s="21"/>
      <c r="E37" s="38"/>
      <c r="F37" s="10"/>
      <c r="G37" s="62"/>
      <c r="H37" s="10"/>
      <c r="I37" s="60"/>
      <c r="J37" s="8"/>
      <c r="K37" s="60"/>
      <c r="L37" s="33"/>
      <c r="M37" s="33"/>
      <c r="N37" s="33"/>
      <c r="O37" s="33"/>
      <c r="P37" s="33"/>
      <c r="Q37" s="33"/>
      <c r="R37" s="33"/>
      <c r="S37" s="33"/>
    </row>
    <row r="38" spans="1:49" ht="12.75" customHeight="1" x14ac:dyDescent="0.25">
      <c r="B38" s="211" t="str">
        <f>IF($C$1="ENG","For additonal charge:","Послуги за додаткову плату:")</f>
        <v>Послуги за додаткову плату:</v>
      </c>
      <c r="C38" s="212"/>
      <c r="D38" s="213"/>
      <c r="E38" s="214"/>
      <c r="F38" s="213"/>
      <c r="G38" s="213"/>
      <c r="H38" s="297"/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  <c r="V38" s="298"/>
      <c r="W38" s="298"/>
    </row>
    <row r="39" spans="1:49" ht="5.0999999999999996" customHeight="1" x14ac:dyDescent="0.25">
      <c r="B39" s="22"/>
      <c r="C39" s="110"/>
      <c r="D39" s="21"/>
      <c r="E39" s="38"/>
      <c r="F39" s="21"/>
      <c r="G39" s="21"/>
      <c r="H39" s="10"/>
      <c r="I39" s="8"/>
      <c r="J39" s="8"/>
      <c r="K39" s="8"/>
      <c r="M39" s="8"/>
      <c r="Q39" s="8"/>
      <c r="U39" s="8"/>
    </row>
    <row r="40" spans="1:49" x14ac:dyDescent="0.25">
      <c r="B40" s="351" t="str">
        <f>IF($C$1="ENG","third door hindge","третя завіса")</f>
        <v>третя завіса</v>
      </c>
      <c r="C40" s="352"/>
      <c r="D40" s="13">
        <f>IF(AC40="","",(1-$W$2)*(AC40/1.2))</f>
        <v>75</v>
      </c>
      <c r="E40" s="43">
        <f>IF($W$5=0.2,D40*1.2,D40)/$W$4</f>
        <v>90</v>
      </c>
      <c r="F40" s="21"/>
      <c r="G40" s="21"/>
      <c r="H40" s="10"/>
      <c r="I40" s="60"/>
      <c r="J40" s="8"/>
      <c r="K40" s="21"/>
      <c r="L40" s="74"/>
      <c r="M40" s="60"/>
      <c r="N40" s="74"/>
      <c r="O40" s="21"/>
      <c r="P40" s="74"/>
      <c r="Q40" s="60"/>
      <c r="R40" s="74"/>
      <c r="S40" s="21"/>
      <c r="U40" s="60"/>
      <c r="W40" s="21"/>
      <c r="AC40" s="130">
        <v>90</v>
      </c>
      <c r="AD40" s="129"/>
      <c r="AE40" s="129">
        <f>AD40/AC40-1</f>
        <v>-1</v>
      </c>
      <c r="AF40" s="129"/>
      <c r="AG40" s="129"/>
      <c r="AH40" s="129"/>
      <c r="AI40" s="129"/>
      <c r="AJ40" s="129"/>
      <c r="AK40" s="129"/>
      <c r="AL40" s="129"/>
    </row>
    <row r="41" spans="1:49" x14ac:dyDescent="0.25">
      <c r="B41" s="351" t="str">
        <f>IF($C$1="ENG","wooden door threshold","поріг сосновий")</f>
        <v>поріг сосновий</v>
      </c>
      <c r="C41" s="352"/>
      <c r="D41" s="20">
        <f>IF(AC41="","",(1-$W$2)*(AC41/1.2))</f>
        <v>525</v>
      </c>
      <c r="E41" s="47">
        <f>IF($W$5=0.2,D41*1.2,D41)/$W$4</f>
        <v>630</v>
      </c>
      <c r="F41" s="21"/>
      <c r="G41" s="21"/>
      <c r="I41" s="17"/>
      <c r="K41" s="21"/>
      <c r="M41" s="17"/>
      <c r="O41" s="21"/>
      <c r="Q41" s="17"/>
      <c r="S41" s="21"/>
      <c r="U41" s="17"/>
      <c r="W41" s="21"/>
      <c r="AC41" s="144">
        <v>630</v>
      </c>
      <c r="AD41" s="129"/>
      <c r="AE41" s="129">
        <f>AD41/AC41-1</f>
        <v>-1</v>
      </c>
      <c r="AF41" s="129"/>
      <c r="AG41" s="129"/>
      <c r="AH41" s="129"/>
      <c r="AI41" s="129"/>
      <c r="AJ41" s="129"/>
      <c r="AK41" s="129"/>
      <c r="AL41" s="129"/>
    </row>
    <row r="42" spans="1:49" x14ac:dyDescent="0.25">
      <c r="M42" s="17"/>
      <c r="Q42" s="17"/>
      <c r="T42" s="341"/>
      <c r="U42" s="341"/>
      <c r="V42" s="341"/>
      <c r="W42" s="341"/>
    </row>
    <row r="43" spans="1:49" x14ac:dyDescent="0.25">
      <c r="C43" s="110"/>
      <c r="D43" s="21"/>
      <c r="E43" s="21"/>
      <c r="F43" s="21"/>
      <c r="G43" s="21"/>
      <c r="H43" s="5"/>
      <c r="I43" s="17"/>
      <c r="M43" s="17"/>
      <c r="O43" s="38"/>
      <c r="Q43" s="17"/>
      <c r="S43" s="38"/>
      <c r="T43" s="26"/>
      <c r="U43" s="17"/>
      <c r="V43" s="26"/>
      <c r="W43" s="26"/>
    </row>
    <row r="44" spans="1:49" x14ac:dyDescent="0.25">
      <c r="C44" s="110"/>
      <c r="D44" s="21"/>
      <c r="E44" s="21"/>
      <c r="F44" s="21"/>
      <c r="G44" s="21"/>
      <c r="H44" s="5"/>
      <c r="I44" s="17"/>
      <c r="M44" s="17"/>
      <c r="O44" s="38"/>
      <c r="Q44" s="17"/>
      <c r="S44" s="38"/>
      <c r="T44" s="26"/>
      <c r="U44" s="17"/>
      <c r="V44" s="26"/>
      <c r="W44" s="26"/>
    </row>
    <row r="45" spans="1:49" x14ac:dyDescent="0.25">
      <c r="C45" s="110"/>
      <c r="D45" s="21"/>
      <c r="E45" s="21"/>
      <c r="F45" s="21"/>
      <c r="G45" s="38"/>
      <c r="H45" s="5"/>
      <c r="I45" s="17"/>
      <c r="K45" s="38"/>
      <c r="M45" s="38"/>
      <c r="O45" s="38"/>
      <c r="Q45" s="38"/>
      <c r="S45" s="38"/>
      <c r="T45" s="26"/>
      <c r="U45" s="26"/>
      <c r="V45" s="26"/>
      <c r="W45" s="38"/>
    </row>
    <row r="46" spans="1:49" s="8" customFormat="1" ht="24.9" customHeight="1" x14ac:dyDescent="0.25">
      <c r="B46" s="246" t="str">
        <f>TITLE!$C$42</f>
        <v>Дверна коробка Verto-FIT</v>
      </c>
      <c r="C46" s="244"/>
      <c r="D46" s="245"/>
      <c r="E46" s="217"/>
      <c r="F46" s="216"/>
      <c r="G46" s="299" t="str">
        <f>IF($C$1="ENG","For Door Leafs with Rebbit","Для Дверних Полотен з Фальцем")</f>
        <v>Для Дверних Полотен з Фальцем</v>
      </c>
      <c r="H46" s="216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185"/>
      <c r="AN46" s="123"/>
      <c r="AO46" s="123"/>
      <c r="AP46" s="123"/>
      <c r="AQ46" s="123"/>
      <c r="AR46" s="123"/>
      <c r="AS46" s="123"/>
      <c r="AT46" s="123"/>
    </row>
    <row r="47" spans="1:49" s="8" customFormat="1" ht="5.0999999999999996" customHeight="1" x14ac:dyDescent="0.25">
      <c r="C47" s="163"/>
      <c r="T47" s="174"/>
      <c r="U47" s="174"/>
      <c r="V47" s="174"/>
      <c r="W47" s="174"/>
      <c r="AC47" s="1"/>
      <c r="AF47" s="1"/>
      <c r="AN47" s="123"/>
      <c r="AO47" s="123"/>
      <c r="AP47" s="123"/>
      <c r="AQ47" s="123"/>
      <c r="AR47" s="123"/>
      <c r="AS47" s="123"/>
      <c r="AT47" s="123"/>
    </row>
    <row r="48" spans="1:49" ht="12.75" customHeight="1" x14ac:dyDescent="0.25">
      <c r="A48" s="8"/>
      <c r="B48" s="133" t="str">
        <f>IF($C$1="ENG","model","модель")</f>
        <v>модель</v>
      </c>
      <c r="C48" s="85" t="str">
        <f>IF($C$1="ENG","cover:","покриття:")</f>
        <v>покриття:</v>
      </c>
      <c r="D48" s="344" t="str">
        <f>IF($C$1="ENG","SIMPLEX / VERTO-CELL / ","SIMPLEX / VERTO-CELL ")</f>
        <v xml:space="preserve">SIMPLEX / VERTO-CELL </v>
      </c>
      <c r="E48" s="353"/>
      <c r="F48" s="353"/>
      <c r="G48" s="345"/>
      <c r="H48" s="344" t="str">
        <f>IF($C$1="ENG","UNI-MAT","UNI-MAT")</f>
        <v>UNI-MAT</v>
      </c>
      <c r="I48" s="353"/>
      <c r="J48" s="353"/>
      <c r="K48" s="345"/>
      <c r="L48" s="344" t="str">
        <f>IF($C$1="ENG","RESIST","RESIST")</f>
        <v>RESIST</v>
      </c>
      <c r="M48" s="353"/>
      <c r="N48" s="353"/>
      <c r="O48" s="345"/>
      <c r="P48" s="344" t="str">
        <f>IF($C$1="ENG","Verto LINE-3D","Verto LINE-3D")</f>
        <v>Verto LINE-3D</v>
      </c>
      <c r="Q48" s="353"/>
      <c r="R48" s="353"/>
      <c r="S48" s="345"/>
      <c r="T48" s="344" t="str">
        <f>IF($C$1="ENG","Premium / LOFT","Premium/ LOFT")</f>
        <v>Premium/ LOFT</v>
      </c>
      <c r="U48" s="353"/>
      <c r="V48" s="353"/>
      <c r="W48" s="345"/>
      <c r="AM48" s="148"/>
      <c r="AO48" s="147"/>
    </row>
    <row r="49" spans="1:58" ht="12.75" customHeight="1" x14ac:dyDescent="0.25">
      <c r="A49" s="8"/>
      <c r="B49" s="134"/>
      <c r="C49" s="86" t="str">
        <f>IF($C$1="ENG","type:","виконання:")</f>
        <v>виконання:</v>
      </c>
      <c r="D49" s="342" t="str">
        <f>IF($C$1="ENG","single leaf","одностулкове")</f>
        <v>одностулкове</v>
      </c>
      <c r="E49" s="348"/>
      <c r="F49" s="355" t="str">
        <f>IF($C$1="ENG","double leaf","двостулкові")</f>
        <v>двостулкові</v>
      </c>
      <c r="G49" s="343"/>
      <c r="H49" s="342" t="str">
        <f>IF($C$1="ENG","single leaf","одностулкове")</f>
        <v>одностулкове</v>
      </c>
      <c r="I49" s="348"/>
      <c r="J49" s="355" t="str">
        <f>IF($C$1="ENG","double leaf","двостулкові")</f>
        <v>двостулкові</v>
      </c>
      <c r="K49" s="343"/>
      <c r="L49" s="342" t="str">
        <f>IF($C$1="ENG","single leaf","одностулкове")</f>
        <v>одностулкове</v>
      </c>
      <c r="M49" s="348"/>
      <c r="N49" s="349" t="str">
        <f>IF($C$1="ENG","double leaf","двостулкові")</f>
        <v>двостулкові</v>
      </c>
      <c r="O49" s="343"/>
      <c r="P49" s="342" t="str">
        <f>IF($C$1="ENG","single leaf","одностулкове")</f>
        <v>одностулкове</v>
      </c>
      <c r="Q49" s="348"/>
      <c r="R49" s="349" t="str">
        <f>IF($C$1="ENG","double leaf","двостулкові")</f>
        <v>двостулкові</v>
      </c>
      <c r="S49" s="343"/>
      <c r="T49" s="342" t="str">
        <f>IF($C$1="ENG","single leaf","одностулкове")</f>
        <v>одностулкове</v>
      </c>
      <c r="U49" s="348"/>
      <c r="V49" s="349" t="str">
        <f>IF($C$1="ENG","double leaf","двостулкові")</f>
        <v>двостулкові</v>
      </c>
      <c r="W49" s="349"/>
      <c r="X49" s="33"/>
      <c r="Y49" s="33"/>
      <c r="Z49" s="33"/>
      <c r="AA49" s="33"/>
      <c r="AE49" s="1">
        <f>AE50/AC50-1</f>
        <v>0.15451895043731789</v>
      </c>
      <c r="AF49" s="1">
        <v>1.1499999999999999</v>
      </c>
      <c r="AM49" s="148"/>
    </row>
    <row r="50" spans="1:58" ht="12.75" customHeight="1" x14ac:dyDescent="0.25">
      <c r="A50" s="8"/>
      <c r="B50" s="12" t="str">
        <f>IF($C$1="ENG","A (75 - 95 mm)","A (75 - 95 мм)")</f>
        <v>A (75 - 95 мм)</v>
      </c>
      <c r="C50" s="304"/>
      <c r="D50" s="13">
        <f t="shared" ref="D50:D59" si="0">IF(AC50="","",(1-$W$2)*(AC50/1.2))</f>
        <v>2858.3333333333335</v>
      </c>
      <c r="E50" s="114">
        <f t="shared" ref="E50:E59" si="1">IF($W$5=0.2,D50*1.2,D50)/$W$4</f>
        <v>3430</v>
      </c>
      <c r="F50" s="117">
        <f t="shared" ref="F50:F59" si="2">IF(AD50="","",(1-$W$2)*(AD50/1.2))</f>
        <v>3991.666666666667</v>
      </c>
      <c r="G50" s="43">
        <f t="shared" ref="G50:G59" si="3">IF($W$5=0.2,F50*1.2,F50)/$W$4</f>
        <v>4790</v>
      </c>
      <c r="H50" s="13">
        <f t="shared" ref="H50:H59" si="4">IF(AE50="","",(1-$W$2)*(AE50/1.2))</f>
        <v>3300</v>
      </c>
      <c r="I50" s="114">
        <f t="shared" ref="I50:I59" si="5">IF($W$5=0.2,H50*1.2,H50)/$W$4</f>
        <v>3960</v>
      </c>
      <c r="J50" s="117">
        <f t="shared" ref="J50:J59" si="6">IF(AF50="","",(1-$W$2)*(AF50/1.2))</f>
        <v>4616.666666666667</v>
      </c>
      <c r="K50" s="43">
        <f t="shared" ref="K50:K59" si="7">IF($W$5=0.2,J50*1.2,J50)/$W$4</f>
        <v>5540</v>
      </c>
      <c r="L50" s="13">
        <f t="shared" ref="L50:L59" si="8">IF(AG50="","",(1-$W$2)*(AG50/1.2))</f>
        <v>3416.666666666667</v>
      </c>
      <c r="M50" s="114">
        <f t="shared" ref="M50:M59" si="9">IF($W$5=0.2,L50*1.2,L50)/$W$4</f>
        <v>4100</v>
      </c>
      <c r="N50" s="117">
        <f t="shared" ref="N50:N59" si="10">IF(AH50="","",(1-$W$2)*(AH50/1.2))</f>
        <v>4783.3333333333339</v>
      </c>
      <c r="O50" s="43">
        <f t="shared" ref="O50:O59" si="11">IF($W$5=0.2,N50*1.2,N50)/$W$4</f>
        <v>5740.0000000000009</v>
      </c>
      <c r="P50" s="13">
        <f t="shared" ref="P50:P59" si="12">IF(AI50="","",(1-$W$2)*(AI50/1.2))</f>
        <v>3641.666666666667</v>
      </c>
      <c r="Q50" s="114">
        <f t="shared" ref="Q50:Q59" si="13">IF($W$5=0.2,P50*1.2,P50)/$W$4</f>
        <v>4370</v>
      </c>
      <c r="R50" s="117">
        <f t="shared" ref="R50:R59" si="14">IF(AJ50="","",(1-$W$2)*(AJ50/1.2))</f>
        <v>5100</v>
      </c>
      <c r="S50" s="43">
        <f t="shared" ref="S50:S59" si="15">IF($W$5=0.2,R50*1.2,R50)/$W$4</f>
        <v>6120</v>
      </c>
      <c r="T50" s="13">
        <f t="shared" ref="T50:T59" si="16">IF(AK50="","",(1-$W$2)*(AK50/1.2))</f>
        <v>3891.666666666667</v>
      </c>
      <c r="U50" s="114">
        <f t="shared" ref="U50:U59" si="17">IF($W$5=0.2,T50*1.2,T50)/$W$4</f>
        <v>4670</v>
      </c>
      <c r="V50" s="117">
        <f t="shared" ref="V50:V59" si="18">IF(AL50="","",(1-$W$2)*(AL50/1.2))</f>
        <v>5733.3333333333339</v>
      </c>
      <c r="W50" s="159">
        <f t="shared" ref="W50:W59" si="19">IF($W$5=0.2,V50*1.2,V50)/$W$4</f>
        <v>6880.0000000000009</v>
      </c>
      <c r="X50" s="158"/>
      <c r="Y50" s="158"/>
      <c r="Z50" s="158"/>
      <c r="AA50" s="158"/>
      <c r="AB50" s="18"/>
      <c r="AC50" s="328">
        <v>3430</v>
      </c>
      <c r="AD50" s="328">
        <v>4790</v>
      </c>
      <c r="AE50" s="328">
        <v>3960</v>
      </c>
      <c r="AF50" s="328">
        <v>5540</v>
      </c>
      <c r="AG50" s="328">
        <v>4100</v>
      </c>
      <c r="AH50" s="328">
        <v>5740</v>
      </c>
      <c r="AI50" s="328">
        <v>4370</v>
      </c>
      <c r="AJ50" s="328">
        <v>6120</v>
      </c>
      <c r="AK50" s="328">
        <v>4670</v>
      </c>
      <c r="AL50" s="328">
        <v>6880</v>
      </c>
      <c r="AM50" s="146">
        <v>2980</v>
      </c>
      <c r="AN50" s="136">
        <f>AM50/AC50-1</f>
        <v>-0.13119533527696792</v>
      </c>
      <c r="AO50" s="146">
        <f>AM50/100*40</f>
        <v>1192</v>
      </c>
      <c r="AP50" s="156">
        <f>AO50/AD50-1</f>
        <v>-0.75114822546972859</v>
      </c>
      <c r="AQ50" s="146">
        <v>3440</v>
      </c>
      <c r="AR50" s="156">
        <f>AQ50/AE50-1</f>
        <v>-0.13131313131313127</v>
      </c>
      <c r="AS50" s="146">
        <v>4820</v>
      </c>
      <c r="AT50" s="156">
        <f>AS50/AF50-1</f>
        <v>-0.12996389891696747</v>
      </c>
      <c r="AU50" s="146">
        <v>3570</v>
      </c>
      <c r="AV50" s="156">
        <f>AU50/AG50-1</f>
        <v>-0.12926829268292683</v>
      </c>
      <c r="AW50" s="146">
        <v>4990</v>
      </c>
      <c r="AX50" s="156"/>
      <c r="AY50" s="146"/>
      <c r="AZ50" s="156"/>
      <c r="BA50" s="146"/>
      <c r="BB50" s="156"/>
      <c r="BC50" s="146"/>
      <c r="BD50" s="156"/>
      <c r="BE50" s="146"/>
      <c r="BF50" s="156"/>
    </row>
    <row r="51" spans="1:58" x14ac:dyDescent="0.25">
      <c r="A51" s="8"/>
      <c r="B51" s="14" t="str">
        <f>IF($C$1="ENG","B (95 - 115 mm)","B (95 - 115 мм)")</f>
        <v>B (95 - 115 мм)</v>
      </c>
      <c r="C51" s="305"/>
      <c r="D51" s="15">
        <f t="shared" si="0"/>
        <v>3025</v>
      </c>
      <c r="E51" s="115">
        <f t="shared" si="1"/>
        <v>3630</v>
      </c>
      <c r="F51" s="118">
        <f t="shared" si="2"/>
        <v>4233.3333333333339</v>
      </c>
      <c r="G51" s="45">
        <f t="shared" si="3"/>
        <v>5080.0000000000009</v>
      </c>
      <c r="H51" s="15">
        <f t="shared" si="4"/>
        <v>3491.666666666667</v>
      </c>
      <c r="I51" s="115">
        <f t="shared" si="5"/>
        <v>4190</v>
      </c>
      <c r="J51" s="118">
        <f t="shared" si="6"/>
        <v>4891.666666666667</v>
      </c>
      <c r="K51" s="45">
        <f t="shared" si="7"/>
        <v>5870</v>
      </c>
      <c r="L51" s="15">
        <f t="shared" si="8"/>
        <v>3641.666666666667</v>
      </c>
      <c r="M51" s="115">
        <f t="shared" si="9"/>
        <v>4370</v>
      </c>
      <c r="N51" s="118">
        <f t="shared" si="10"/>
        <v>5091.666666666667</v>
      </c>
      <c r="O51" s="45">
        <f t="shared" si="11"/>
        <v>6110</v>
      </c>
      <c r="P51" s="15">
        <f t="shared" si="12"/>
        <v>3850</v>
      </c>
      <c r="Q51" s="115">
        <f t="shared" si="13"/>
        <v>4620</v>
      </c>
      <c r="R51" s="118">
        <f t="shared" si="14"/>
        <v>5383.3333333333339</v>
      </c>
      <c r="S51" s="45">
        <f t="shared" si="15"/>
        <v>6460.0000000000009</v>
      </c>
      <c r="T51" s="15">
        <f t="shared" si="16"/>
        <v>4125</v>
      </c>
      <c r="U51" s="115">
        <f t="shared" si="17"/>
        <v>4950</v>
      </c>
      <c r="V51" s="118">
        <f t="shared" si="18"/>
        <v>5766.666666666667</v>
      </c>
      <c r="W51" s="160">
        <f t="shared" si="19"/>
        <v>6920</v>
      </c>
      <c r="X51" s="158"/>
      <c r="Y51" s="39"/>
      <c r="Z51" s="23"/>
      <c r="AA51" s="39"/>
      <c r="AB51" s="18"/>
      <c r="AC51" s="328">
        <v>3630</v>
      </c>
      <c r="AD51" s="328">
        <v>5080</v>
      </c>
      <c r="AE51" s="328">
        <v>4190</v>
      </c>
      <c r="AF51" s="328">
        <v>5870</v>
      </c>
      <c r="AG51" s="328">
        <v>4370</v>
      </c>
      <c r="AH51" s="328">
        <v>6110</v>
      </c>
      <c r="AI51" s="328">
        <v>4620</v>
      </c>
      <c r="AJ51" s="328">
        <v>6460</v>
      </c>
      <c r="AK51" s="328">
        <v>4950</v>
      </c>
      <c r="AL51" s="328">
        <v>6920</v>
      </c>
      <c r="AM51" s="146">
        <v>3160</v>
      </c>
      <c r="AN51" s="136">
        <f t="shared" ref="AN51:AN59" si="20">AM51/AC51-1</f>
        <v>-0.12947658402203854</v>
      </c>
      <c r="AO51" s="146">
        <f t="shared" ref="AO51:AO59" si="21">AM51/100*40</f>
        <v>1264</v>
      </c>
      <c r="AP51" s="156">
        <f t="shared" ref="AP51:AP59" si="22">AO51/AD51-1</f>
        <v>-0.7511811023622047</v>
      </c>
      <c r="AQ51" s="146">
        <v>3640</v>
      </c>
      <c r="AR51" s="156">
        <f t="shared" ref="AR51:AR59" si="23">AQ51/AE51-1</f>
        <v>-0.13126491646778038</v>
      </c>
      <c r="AS51" s="146">
        <v>5100</v>
      </c>
      <c r="AT51" s="156">
        <f t="shared" ref="AT51:AT59" si="24">AS51/AF51-1</f>
        <v>-0.131175468483816</v>
      </c>
      <c r="AU51" s="146">
        <v>3800</v>
      </c>
      <c r="AV51" s="156">
        <f t="shared" ref="AV51:AV59" si="25">AU51/AG51-1</f>
        <v>-0.13043478260869568</v>
      </c>
      <c r="AW51" s="146">
        <v>5310</v>
      </c>
      <c r="AX51" s="156"/>
      <c r="AY51" s="146"/>
      <c r="AZ51" s="156"/>
      <c r="BA51" s="146"/>
      <c r="BB51" s="156"/>
      <c r="BC51" s="146"/>
      <c r="BD51" s="156"/>
      <c r="BE51" s="146"/>
      <c r="BF51" s="156"/>
    </row>
    <row r="52" spans="1:58" x14ac:dyDescent="0.25">
      <c r="A52" s="8"/>
      <c r="B52" s="14" t="str">
        <f>IF($C$1="ENG","B+ (100 - 120 mm)","B+ (100 - 120 мм)")</f>
        <v>B+ (100 - 120 мм)</v>
      </c>
      <c r="C52" s="305"/>
      <c r="D52" s="15">
        <f t="shared" si="0"/>
        <v>3141.666666666667</v>
      </c>
      <c r="E52" s="115">
        <f t="shared" si="1"/>
        <v>3770</v>
      </c>
      <c r="F52" s="118">
        <f t="shared" si="2"/>
        <v>4400</v>
      </c>
      <c r="G52" s="45">
        <f t="shared" si="3"/>
        <v>5280</v>
      </c>
      <c r="H52" s="15">
        <f t="shared" si="4"/>
        <v>3600</v>
      </c>
      <c r="I52" s="115">
        <f t="shared" si="5"/>
        <v>4320</v>
      </c>
      <c r="J52" s="118">
        <f t="shared" si="6"/>
        <v>5050</v>
      </c>
      <c r="K52" s="45">
        <f t="shared" si="7"/>
        <v>6060</v>
      </c>
      <c r="L52" s="15">
        <f t="shared" si="8"/>
        <v>3750</v>
      </c>
      <c r="M52" s="115">
        <f t="shared" si="9"/>
        <v>4500</v>
      </c>
      <c r="N52" s="118">
        <f t="shared" si="10"/>
        <v>5241.666666666667</v>
      </c>
      <c r="O52" s="45">
        <f t="shared" si="11"/>
        <v>6290</v>
      </c>
      <c r="P52" s="15">
        <f t="shared" si="12"/>
        <v>3966.666666666667</v>
      </c>
      <c r="Q52" s="115">
        <f t="shared" si="13"/>
        <v>4760</v>
      </c>
      <c r="R52" s="118">
        <f t="shared" si="14"/>
        <v>5550</v>
      </c>
      <c r="S52" s="45">
        <f t="shared" si="15"/>
        <v>6660</v>
      </c>
      <c r="T52" s="15">
        <f t="shared" si="16"/>
        <v>4233.3333333333339</v>
      </c>
      <c r="U52" s="115">
        <f t="shared" si="17"/>
        <v>5080.0000000000009</v>
      </c>
      <c r="V52" s="118">
        <f t="shared" si="18"/>
        <v>5925</v>
      </c>
      <c r="W52" s="160">
        <f t="shared" si="19"/>
        <v>7110</v>
      </c>
      <c r="X52" s="158"/>
      <c r="Y52" s="39"/>
      <c r="Z52" s="23"/>
      <c r="AA52" s="39"/>
      <c r="AB52" s="18"/>
      <c r="AC52" s="328">
        <v>3770</v>
      </c>
      <c r="AD52" s="328">
        <v>5280</v>
      </c>
      <c r="AE52" s="328">
        <v>4320</v>
      </c>
      <c r="AF52" s="328">
        <v>6060</v>
      </c>
      <c r="AG52" s="328">
        <v>4500</v>
      </c>
      <c r="AH52" s="328">
        <v>6290</v>
      </c>
      <c r="AI52" s="328">
        <v>4760</v>
      </c>
      <c r="AJ52" s="328">
        <v>6660</v>
      </c>
      <c r="AK52" s="328">
        <v>5080</v>
      </c>
      <c r="AL52" s="328">
        <v>7110</v>
      </c>
      <c r="AM52" s="146">
        <v>3280</v>
      </c>
      <c r="AN52" s="136">
        <f t="shared" si="20"/>
        <v>-0.12997347480106103</v>
      </c>
      <c r="AO52" s="146">
        <f t="shared" si="21"/>
        <v>1312</v>
      </c>
      <c r="AP52" s="156">
        <f t="shared" si="22"/>
        <v>-0.75151515151515147</v>
      </c>
      <c r="AQ52" s="146">
        <v>3760</v>
      </c>
      <c r="AR52" s="156">
        <f t="shared" si="23"/>
        <v>-0.12962962962962965</v>
      </c>
      <c r="AS52" s="146">
        <v>5270</v>
      </c>
      <c r="AT52" s="156">
        <f t="shared" si="24"/>
        <v>-0.13036303630363033</v>
      </c>
      <c r="AU52" s="146">
        <v>3910</v>
      </c>
      <c r="AV52" s="156">
        <f t="shared" si="25"/>
        <v>-0.13111111111111107</v>
      </c>
      <c r="AW52" s="146">
        <v>5470</v>
      </c>
      <c r="AX52" s="156"/>
      <c r="AY52" s="146"/>
      <c r="AZ52" s="156"/>
      <c r="BA52" s="146"/>
      <c r="BB52" s="156"/>
      <c r="BC52" s="146"/>
      <c r="BD52" s="156"/>
      <c r="BE52" s="146"/>
      <c r="BF52" s="156"/>
    </row>
    <row r="53" spans="1:58" x14ac:dyDescent="0.25">
      <c r="A53" s="8"/>
      <c r="B53" s="14" t="str">
        <f>IF($C$1="ENG","C (120 - 140 mm)","C (120 - 140 мм)")</f>
        <v>C (120 - 140 мм)</v>
      </c>
      <c r="C53" s="305"/>
      <c r="D53" s="15">
        <f t="shared" si="0"/>
        <v>3233.3333333333335</v>
      </c>
      <c r="E53" s="115">
        <f t="shared" si="1"/>
        <v>3880</v>
      </c>
      <c r="F53" s="118">
        <f t="shared" si="2"/>
        <v>4525</v>
      </c>
      <c r="G53" s="45">
        <f t="shared" si="3"/>
        <v>5430</v>
      </c>
      <c r="H53" s="15">
        <f t="shared" si="4"/>
        <v>3716.666666666667</v>
      </c>
      <c r="I53" s="115">
        <f t="shared" si="5"/>
        <v>4460</v>
      </c>
      <c r="J53" s="118">
        <f t="shared" si="6"/>
        <v>5200</v>
      </c>
      <c r="K53" s="45">
        <f t="shared" si="7"/>
        <v>6240</v>
      </c>
      <c r="L53" s="15">
        <f t="shared" si="8"/>
        <v>3833.3333333333335</v>
      </c>
      <c r="M53" s="115">
        <f t="shared" si="9"/>
        <v>4600</v>
      </c>
      <c r="N53" s="118">
        <f t="shared" si="10"/>
        <v>5375</v>
      </c>
      <c r="O53" s="45">
        <f t="shared" si="11"/>
        <v>6450</v>
      </c>
      <c r="P53" s="15">
        <f t="shared" si="12"/>
        <v>4075</v>
      </c>
      <c r="Q53" s="115">
        <f t="shared" si="13"/>
        <v>4890</v>
      </c>
      <c r="R53" s="118">
        <f t="shared" si="14"/>
        <v>5700</v>
      </c>
      <c r="S53" s="45">
        <f t="shared" si="15"/>
        <v>6840</v>
      </c>
      <c r="T53" s="15">
        <f t="shared" si="16"/>
        <v>4358.3333333333339</v>
      </c>
      <c r="U53" s="115">
        <f t="shared" si="17"/>
        <v>5230.0000000000009</v>
      </c>
      <c r="V53" s="118">
        <f t="shared" si="18"/>
        <v>6091.666666666667</v>
      </c>
      <c r="W53" s="160">
        <f t="shared" si="19"/>
        <v>7310</v>
      </c>
      <c r="X53" s="158"/>
      <c r="Y53" s="39"/>
      <c r="Z53" s="23"/>
      <c r="AA53" s="39"/>
      <c r="AB53" s="18"/>
      <c r="AC53" s="328">
        <v>3880</v>
      </c>
      <c r="AD53" s="328">
        <v>5430</v>
      </c>
      <c r="AE53" s="328">
        <v>4460</v>
      </c>
      <c r="AF53" s="328">
        <v>6240</v>
      </c>
      <c r="AG53" s="328">
        <v>4600</v>
      </c>
      <c r="AH53" s="328">
        <v>6450</v>
      </c>
      <c r="AI53" s="328">
        <v>4890</v>
      </c>
      <c r="AJ53" s="328">
        <v>6840</v>
      </c>
      <c r="AK53" s="328">
        <v>5230</v>
      </c>
      <c r="AL53" s="328">
        <v>7310</v>
      </c>
      <c r="AM53" s="146">
        <v>3370</v>
      </c>
      <c r="AN53" s="136">
        <f t="shared" si="20"/>
        <v>-0.13144329896907214</v>
      </c>
      <c r="AO53" s="146">
        <f t="shared" si="21"/>
        <v>1348</v>
      </c>
      <c r="AP53" s="156">
        <f t="shared" si="22"/>
        <v>-0.75174953959484347</v>
      </c>
      <c r="AQ53" s="146">
        <v>3880</v>
      </c>
      <c r="AR53" s="156">
        <f t="shared" si="23"/>
        <v>-0.1300448430493274</v>
      </c>
      <c r="AS53" s="146">
        <v>5430</v>
      </c>
      <c r="AT53" s="156">
        <f t="shared" si="24"/>
        <v>-0.12980769230769229</v>
      </c>
      <c r="AU53" s="146">
        <v>4000</v>
      </c>
      <c r="AV53" s="156">
        <f t="shared" si="25"/>
        <v>-0.13043478260869568</v>
      </c>
      <c r="AW53" s="146">
        <v>5610</v>
      </c>
      <c r="AX53" s="156"/>
      <c r="AY53" s="146"/>
      <c r="AZ53" s="156"/>
      <c r="BA53" s="146"/>
      <c r="BB53" s="156"/>
      <c r="BC53" s="146"/>
      <c r="BD53" s="156"/>
      <c r="BE53" s="146"/>
      <c r="BF53" s="156"/>
    </row>
    <row r="54" spans="1:58" x14ac:dyDescent="0.25">
      <c r="A54" s="8"/>
      <c r="B54" s="14" t="str">
        <f>IF($C$1="ENG","D (140 - 160 mm)","D (140 - 160 мм)")</f>
        <v>D (140 - 160 мм)</v>
      </c>
      <c r="C54" s="305"/>
      <c r="D54" s="15">
        <f t="shared" si="0"/>
        <v>3400</v>
      </c>
      <c r="E54" s="115">
        <f t="shared" si="1"/>
        <v>4080</v>
      </c>
      <c r="F54" s="118">
        <f t="shared" si="2"/>
        <v>4766.666666666667</v>
      </c>
      <c r="G54" s="45">
        <f t="shared" si="3"/>
        <v>5720</v>
      </c>
      <c r="H54" s="15">
        <f t="shared" si="4"/>
        <v>3908.3333333333335</v>
      </c>
      <c r="I54" s="115">
        <f t="shared" si="5"/>
        <v>4690</v>
      </c>
      <c r="J54" s="118">
        <f t="shared" si="6"/>
        <v>5475</v>
      </c>
      <c r="K54" s="45">
        <f t="shared" si="7"/>
        <v>6570</v>
      </c>
      <c r="L54" s="15">
        <f t="shared" si="8"/>
        <v>4050</v>
      </c>
      <c r="M54" s="115">
        <f t="shared" si="9"/>
        <v>4860</v>
      </c>
      <c r="N54" s="118">
        <f t="shared" si="10"/>
        <v>5675</v>
      </c>
      <c r="O54" s="45">
        <f t="shared" si="11"/>
        <v>6810</v>
      </c>
      <c r="P54" s="15">
        <f t="shared" si="12"/>
        <v>4300</v>
      </c>
      <c r="Q54" s="115">
        <f t="shared" si="13"/>
        <v>5160</v>
      </c>
      <c r="R54" s="118">
        <f t="shared" si="14"/>
        <v>6025</v>
      </c>
      <c r="S54" s="45">
        <f t="shared" si="15"/>
        <v>7230</v>
      </c>
      <c r="T54" s="15">
        <f t="shared" si="16"/>
        <v>4583.3333333333339</v>
      </c>
      <c r="U54" s="115">
        <f t="shared" si="17"/>
        <v>5500.0000000000009</v>
      </c>
      <c r="V54" s="118">
        <f t="shared" si="18"/>
        <v>6408.3333333333339</v>
      </c>
      <c r="W54" s="160">
        <f t="shared" si="19"/>
        <v>7690</v>
      </c>
      <c r="X54" s="158"/>
      <c r="Y54" s="39"/>
      <c r="Z54" s="23"/>
      <c r="AA54" s="39"/>
      <c r="AB54" s="18"/>
      <c r="AC54" s="328">
        <v>4080</v>
      </c>
      <c r="AD54" s="328">
        <v>5720</v>
      </c>
      <c r="AE54" s="328">
        <v>4690</v>
      </c>
      <c r="AF54" s="328">
        <v>6570</v>
      </c>
      <c r="AG54" s="328">
        <v>4860</v>
      </c>
      <c r="AH54" s="328">
        <v>6810</v>
      </c>
      <c r="AI54" s="328">
        <v>5160</v>
      </c>
      <c r="AJ54" s="328">
        <v>7230</v>
      </c>
      <c r="AK54" s="328">
        <v>5500</v>
      </c>
      <c r="AL54" s="328">
        <v>7690</v>
      </c>
      <c r="AM54" s="146">
        <v>3550</v>
      </c>
      <c r="AN54" s="136">
        <f t="shared" si="20"/>
        <v>-0.12990196078431371</v>
      </c>
      <c r="AO54" s="146">
        <f t="shared" si="21"/>
        <v>1420</v>
      </c>
      <c r="AP54" s="156">
        <f t="shared" si="22"/>
        <v>-0.75174825174825177</v>
      </c>
      <c r="AQ54" s="146">
        <v>4080</v>
      </c>
      <c r="AR54" s="156">
        <f t="shared" si="23"/>
        <v>-0.13006396588486135</v>
      </c>
      <c r="AS54" s="146">
        <v>5710</v>
      </c>
      <c r="AT54" s="156">
        <f t="shared" si="24"/>
        <v>-0.13089802130898021</v>
      </c>
      <c r="AU54" s="146">
        <v>4230</v>
      </c>
      <c r="AV54" s="156">
        <f t="shared" si="25"/>
        <v>-0.12962962962962965</v>
      </c>
      <c r="AW54" s="146">
        <v>5920</v>
      </c>
      <c r="AX54" s="156"/>
      <c r="AY54" s="146"/>
      <c r="AZ54" s="156"/>
      <c r="BA54" s="146"/>
      <c r="BB54" s="156"/>
      <c r="BC54" s="146"/>
      <c r="BD54" s="156"/>
      <c r="BE54" s="146"/>
      <c r="BF54" s="156"/>
    </row>
    <row r="55" spans="1:58" x14ac:dyDescent="0.25">
      <c r="A55" s="8"/>
      <c r="B55" s="14" t="str">
        <f>IF($C$1="ENG","E (160 - 180 mm)","E (160 - 180 мм)")</f>
        <v>E (160 - 180 мм)</v>
      </c>
      <c r="C55" s="305"/>
      <c r="D55" s="15">
        <f t="shared" si="0"/>
        <v>3575</v>
      </c>
      <c r="E55" s="115">
        <f t="shared" si="1"/>
        <v>4290</v>
      </c>
      <c r="F55" s="118">
        <f t="shared" si="2"/>
        <v>5000</v>
      </c>
      <c r="G55" s="45">
        <f t="shared" si="3"/>
        <v>6000</v>
      </c>
      <c r="H55" s="15">
        <f t="shared" si="4"/>
        <v>4125</v>
      </c>
      <c r="I55" s="115">
        <f t="shared" si="5"/>
        <v>4950</v>
      </c>
      <c r="J55" s="118">
        <f t="shared" si="6"/>
        <v>5766.666666666667</v>
      </c>
      <c r="K55" s="45">
        <f t="shared" si="7"/>
        <v>6920</v>
      </c>
      <c r="L55" s="15">
        <f t="shared" si="8"/>
        <v>4241.666666666667</v>
      </c>
      <c r="M55" s="115">
        <f t="shared" si="9"/>
        <v>5090</v>
      </c>
      <c r="N55" s="118">
        <f t="shared" si="10"/>
        <v>5950</v>
      </c>
      <c r="O55" s="45">
        <f t="shared" si="11"/>
        <v>7140</v>
      </c>
      <c r="P55" s="15">
        <f t="shared" si="12"/>
        <v>4525</v>
      </c>
      <c r="Q55" s="115">
        <f t="shared" si="13"/>
        <v>5430</v>
      </c>
      <c r="R55" s="118">
        <f t="shared" si="14"/>
        <v>6333.3333333333339</v>
      </c>
      <c r="S55" s="45">
        <f t="shared" si="15"/>
        <v>7600</v>
      </c>
      <c r="T55" s="15">
        <f t="shared" si="16"/>
        <v>4825</v>
      </c>
      <c r="U55" s="115">
        <f t="shared" si="17"/>
        <v>5790</v>
      </c>
      <c r="V55" s="118">
        <f t="shared" si="18"/>
        <v>6750</v>
      </c>
      <c r="W55" s="160">
        <f t="shared" si="19"/>
        <v>8100</v>
      </c>
      <c r="X55" s="158"/>
      <c r="Y55" s="39"/>
      <c r="Z55" s="23"/>
      <c r="AA55" s="39"/>
      <c r="AB55" s="18"/>
      <c r="AC55" s="328">
        <v>4290</v>
      </c>
      <c r="AD55" s="328">
        <v>6000</v>
      </c>
      <c r="AE55" s="328">
        <v>4950</v>
      </c>
      <c r="AF55" s="328">
        <v>6920</v>
      </c>
      <c r="AG55" s="328">
        <v>5090</v>
      </c>
      <c r="AH55" s="328">
        <v>7140</v>
      </c>
      <c r="AI55" s="328">
        <v>5430</v>
      </c>
      <c r="AJ55" s="328">
        <v>7600</v>
      </c>
      <c r="AK55" s="328">
        <v>5790</v>
      </c>
      <c r="AL55" s="328">
        <v>8100</v>
      </c>
      <c r="AM55" s="146">
        <v>3730</v>
      </c>
      <c r="AN55" s="136">
        <f t="shared" si="20"/>
        <v>-0.13053613053613056</v>
      </c>
      <c r="AO55" s="146">
        <f t="shared" si="21"/>
        <v>1492</v>
      </c>
      <c r="AP55" s="156">
        <f t="shared" si="22"/>
        <v>-0.7513333333333333</v>
      </c>
      <c r="AQ55" s="146">
        <v>4300</v>
      </c>
      <c r="AR55" s="156">
        <f t="shared" si="23"/>
        <v>-0.13131313131313127</v>
      </c>
      <c r="AS55" s="146">
        <v>6020</v>
      </c>
      <c r="AT55" s="156">
        <f t="shared" si="24"/>
        <v>-0.13005780346820806</v>
      </c>
      <c r="AU55" s="146">
        <v>4430</v>
      </c>
      <c r="AV55" s="156">
        <f t="shared" si="25"/>
        <v>-0.12966601178781922</v>
      </c>
      <c r="AW55" s="146">
        <v>6210</v>
      </c>
      <c r="AX55" s="156"/>
      <c r="AY55" s="146"/>
      <c r="AZ55" s="156"/>
      <c r="BA55" s="146"/>
      <c r="BB55" s="156"/>
      <c r="BC55" s="146"/>
      <c r="BD55" s="156"/>
      <c r="BE55" s="146"/>
      <c r="BF55" s="156"/>
    </row>
    <row r="56" spans="1:58" x14ac:dyDescent="0.25">
      <c r="A56" s="8"/>
      <c r="B56" s="14" t="str">
        <f>IF($C$1="ENG","F (180 - 200 mm)","F (180 - 200 мм)")</f>
        <v>F (180 - 200 мм)</v>
      </c>
      <c r="C56" s="305"/>
      <c r="D56" s="15">
        <f t="shared" si="0"/>
        <v>3758.3333333333335</v>
      </c>
      <c r="E56" s="115">
        <f t="shared" si="1"/>
        <v>4510</v>
      </c>
      <c r="F56" s="118">
        <f t="shared" si="2"/>
        <v>5258.3333333333339</v>
      </c>
      <c r="G56" s="45">
        <f t="shared" si="3"/>
        <v>6310.0000000000009</v>
      </c>
      <c r="H56" s="15">
        <f t="shared" si="4"/>
        <v>4325</v>
      </c>
      <c r="I56" s="115">
        <f t="shared" si="5"/>
        <v>5190</v>
      </c>
      <c r="J56" s="118">
        <f t="shared" si="6"/>
        <v>6041.666666666667</v>
      </c>
      <c r="K56" s="45">
        <f t="shared" si="7"/>
        <v>7250</v>
      </c>
      <c r="L56" s="15">
        <f t="shared" si="8"/>
        <v>4466.666666666667</v>
      </c>
      <c r="M56" s="115">
        <f t="shared" si="9"/>
        <v>5360</v>
      </c>
      <c r="N56" s="118">
        <f t="shared" si="10"/>
        <v>6250</v>
      </c>
      <c r="O56" s="45">
        <f t="shared" si="11"/>
        <v>7500</v>
      </c>
      <c r="P56" s="15">
        <f t="shared" si="12"/>
        <v>4733.3333333333339</v>
      </c>
      <c r="Q56" s="115">
        <f t="shared" si="13"/>
        <v>5680.0000000000009</v>
      </c>
      <c r="R56" s="118">
        <f t="shared" si="14"/>
        <v>6633.3333333333339</v>
      </c>
      <c r="S56" s="45">
        <f t="shared" si="15"/>
        <v>7960</v>
      </c>
      <c r="T56" s="15">
        <f t="shared" si="16"/>
        <v>5058.3333333333339</v>
      </c>
      <c r="U56" s="115">
        <f t="shared" si="17"/>
        <v>6070.0000000000009</v>
      </c>
      <c r="V56" s="118">
        <f t="shared" si="18"/>
        <v>7083.3333333333339</v>
      </c>
      <c r="W56" s="160">
        <f t="shared" si="19"/>
        <v>8500</v>
      </c>
      <c r="X56" s="158"/>
      <c r="Y56" s="39"/>
      <c r="Z56" s="23"/>
      <c r="AA56" s="39"/>
      <c r="AB56" s="18"/>
      <c r="AC56" s="328">
        <v>4510</v>
      </c>
      <c r="AD56" s="328">
        <v>6310</v>
      </c>
      <c r="AE56" s="328">
        <v>5190</v>
      </c>
      <c r="AF56" s="328">
        <v>7250</v>
      </c>
      <c r="AG56" s="328">
        <v>5360</v>
      </c>
      <c r="AH56" s="328">
        <v>7500</v>
      </c>
      <c r="AI56" s="328">
        <v>5680</v>
      </c>
      <c r="AJ56" s="328">
        <v>7960</v>
      </c>
      <c r="AK56" s="328">
        <v>6070</v>
      </c>
      <c r="AL56" s="328">
        <v>8500</v>
      </c>
      <c r="AM56" s="146">
        <v>3920</v>
      </c>
      <c r="AN56" s="136">
        <f t="shared" si="20"/>
        <v>-0.13082039911308208</v>
      </c>
      <c r="AO56" s="146">
        <f t="shared" si="21"/>
        <v>1568</v>
      </c>
      <c r="AP56" s="156">
        <f t="shared" si="22"/>
        <v>-0.75150554675118864</v>
      </c>
      <c r="AQ56" s="146">
        <v>4510</v>
      </c>
      <c r="AR56" s="156">
        <f t="shared" si="23"/>
        <v>-0.13102119460500961</v>
      </c>
      <c r="AS56" s="146">
        <v>6300</v>
      </c>
      <c r="AT56" s="156">
        <f t="shared" si="24"/>
        <v>-0.13103448275862073</v>
      </c>
      <c r="AU56" s="146">
        <v>4660</v>
      </c>
      <c r="AV56" s="156">
        <f t="shared" si="25"/>
        <v>-0.13059701492537312</v>
      </c>
      <c r="AW56" s="146">
        <v>6520</v>
      </c>
      <c r="AX56" s="156"/>
      <c r="AY56" s="146"/>
      <c r="AZ56" s="156"/>
      <c r="BA56" s="146"/>
      <c r="BB56" s="156"/>
      <c r="BC56" s="146"/>
      <c r="BD56" s="156"/>
      <c r="BE56" s="146"/>
      <c r="BF56" s="156"/>
    </row>
    <row r="57" spans="1:58" x14ac:dyDescent="0.25">
      <c r="A57" s="8"/>
      <c r="B57" s="14" t="str">
        <f>IF($C$1="ENG","G (200 - 220 mm)","G (200 - 220 мм)")</f>
        <v>G (200 - 220 мм)</v>
      </c>
      <c r="C57" s="305"/>
      <c r="D57" s="15">
        <f t="shared" si="0"/>
        <v>3933.3333333333335</v>
      </c>
      <c r="E57" s="115">
        <f t="shared" si="1"/>
        <v>4720</v>
      </c>
      <c r="F57" s="118">
        <f t="shared" si="2"/>
        <v>5500</v>
      </c>
      <c r="G57" s="45">
        <f t="shared" si="3"/>
        <v>6600</v>
      </c>
      <c r="H57" s="15">
        <f t="shared" si="4"/>
        <v>4533.3333333333339</v>
      </c>
      <c r="I57" s="115">
        <f t="shared" si="5"/>
        <v>5440.0000000000009</v>
      </c>
      <c r="J57" s="118">
        <f t="shared" si="6"/>
        <v>6333.3333333333339</v>
      </c>
      <c r="K57" s="45">
        <f t="shared" si="7"/>
        <v>7600</v>
      </c>
      <c r="L57" s="15">
        <f t="shared" si="8"/>
        <v>4683.3333333333339</v>
      </c>
      <c r="M57" s="115">
        <f t="shared" si="9"/>
        <v>5620.0000000000009</v>
      </c>
      <c r="N57" s="118">
        <f t="shared" si="10"/>
        <v>6558.3333333333339</v>
      </c>
      <c r="O57" s="45">
        <f t="shared" si="11"/>
        <v>7870</v>
      </c>
      <c r="P57" s="15">
        <f t="shared" si="12"/>
        <v>4966.666666666667</v>
      </c>
      <c r="Q57" s="115">
        <f t="shared" si="13"/>
        <v>5960</v>
      </c>
      <c r="R57" s="118">
        <f t="shared" si="14"/>
        <v>6950</v>
      </c>
      <c r="S57" s="45">
        <f t="shared" si="15"/>
        <v>8340</v>
      </c>
      <c r="T57" s="15">
        <f t="shared" si="16"/>
        <v>5291.666666666667</v>
      </c>
      <c r="U57" s="115">
        <f t="shared" si="17"/>
        <v>6350</v>
      </c>
      <c r="V57" s="118">
        <f t="shared" si="18"/>
        <v>7400</v>
      </c>
      <c r="W57" s="160">
        <f t="shared" si="19"/>
        <v>8880</v>
      </c>
      <c r="X57" s="158"/>
      <c r="Y57" s="39"/>
      <c r="Z57" s="23"/>
      <c r="AA57" s="39"/>
      <c r="AB57" s="18"/>
      <c r="AC57" s="328">
        <v>4720</v>
      </c>
      <c r="AD57" s="328">
        <v>6600</v>
      </c>
      <c r="AE57" s="328">
        <v>5440</v>
      </c>
      <c r="AF57" s="328">
        <v>7600</v>
      </c>
      <c r="AG57" s="328">
        <v>5620</v>
      </c>
      <c r="AH57" s="328">
        <v>7870</v>
      </c>
      <c r="AI57" s="328">
        <v>5960</v>
      </c>
      <c r="AJ57" s="328">
        <v>8340</v>
      </c>
      <c r="AK57" s="328">
        <v>6350</v>
      </c>
      <c r="AL57" s="328">
        <v>8880</v>
      </c>
      <c r="AM57" s="146">
        <v>4100</v>
      </c>
      <c r="AN57" s="136">
        <f t="shared" si="20"/>
        <v>-0.13135593220338981</v>
      </c>
      <c r="AO57" s="146">
        <f t="shared" si="21"/>
        <v>1640</v>
      </c>
      <c r="AP57" s="156">
        <f t="shared" si="22"/>
        <v>-0.75151515151515147</v>
      </c>
      <c r="AQ57" s="146">
        <v>4730</v>
      </c>
      <c r="AR57" s="156">
        <f t="shared" si="23"/>
        <v>-0.13051470588235292</v>
      </c>
      <c r="AS57" s="146">
        <v>6610</v>
      </c>
      <c r="AT57" s="156">
        <f t="shared" si="24"/>
        <v>-0.13026315789473686</v>
      </c>
      <c r="AU57" s="146">
        <v>4890</v>
      </c>
      <c r="AV57" s="156">
        <f t="shared" si="25"/>
        <v>-0.12989323843416367</v>
      </c>
      <c r="AW57" s="146">
        <v>6840</v>
      </c>
      <c r="AX57" s="156"/>
      <c r="AY57" s="146"/>
      <c r="AZ57" s="156"/>
      <c r="BA57" s="146"/>
      <c r="BB57" s="156"/>
      <c r="BC57" s="146"/>
      <c r="BD57" s="156"/>
      <c r="BE57" s="146"/>
      <c r="BF57" s="156"/>
    </row>
    <row r="58" spans="1:58" x14ac:dyDescent="0.25">
      <c r="A58" s="8"/>
      <c r="B58" s="14" t="str">
        <f>IF($C$1="ENG","H (220 - 240 mm)","H (220 - 240 мм)")</f>
        <v>H (220 - 240 мм)</v>
      </c>
      <c r="C58" s="305"/>
      <c r="D58" s="15">
        <f t="shared" si="0"/>
        <v>4108.3333333333339</v>
      </c>
      <c r="E58" s="115">
        <f t="shared" si="1"/>
        <v>4930.0000000000009</v>
      </c>
      <c r="F58" s="118">
        <f t="shared" si="2"/>
        <v>5749.9999999999991</v>
      </c>
      <c r="G58" s="45">
        <f t="shared" si="3"/>
        <v>6899.9999999999991</v>
      </c>
      <c r="H58" s="15">
        <f t="shared" si="4"/>
        <v>4733.3333333333339</v>
      </c>
      <c r="I58" s="115">
        <f t="shared" si="5"/>
        <v>5680.0000000000009</v>
      </c>
      <c r="J58" s="118">
        <f t="shared" si="6"/>
        <v>6633.3333333333339</v>
      </c>
      <c r="K58" s="45">
        <f t="shared" si="7"/>
        <v>7960</v>
      </c>
      <c r="L58" s="15">
        <f t="shared" si="8"/>
        <v>4875</v>
      </c>
      <c r="M58" s="115">
        <f t="shared" si="9"/>
        <v>5850</v>
      </c>
      <c r="N58" s="118">
        <f t="shared" si="10"/>
        <v>6825</v>
      </c>
      <c r="O58" s="45">
        <f t="shared" si="11"/>
        <v>8190</v>
      </c>
      <c r="P58" s="15">
        <f t="shared" si="12"/>
        <v>5191.666666666667</v>
      </c>
      <c r="Q58" s="115">
        <f t="shared" si="13"/>
        <v>6230</v>
      </c>
      <c r="R58" s="118">
        <f t="shared" si="14"/>
        <v>7250</v>
      </c>
      <c r="S58" s="45">
        <f t="shared" si="15"/>
        <v>8700</v>
      </c>
      <c r="T58" s="15">
        <f t="shared" si="16"/>
        <v>5533.3333333333339</v>
      </c>
      <c r="U58" s="115">
        <f t="shared" si="17"/>
        <v>6640.0000000000009</v>
      </c>
      <c r="V58" s="118">
        <f t="shared" si="18"/>
        <v>7733.3333333333339</v>
      </c>
      <c r="W58" s="160">
        <f t="shared" si="19"/>
        <v>9280</v>
      </c>
      <c r="X58" s="158"/>
      <c r="Y58" s="39"/>
      <c r="Z58" s="23"/>
      <c r="AA58" s="39"/>
      <c r="AB58" s="18"/>
      <c r="AC58" s="328">
        <v>4930</v>
      </c>
      <c r="AD58" s="328">
        <v>6899.9999999999991</v>
      </c>
      <c r="AE58" s="328">
        <v>5680</v>
      </c>
      <c r="AF58" s="328">
        <v>7960</v>
      </c>
      <c r="AG58" s="328">
        <v>5850</v>
      </c>
      <c r="AH58" s="328">
        <v>8190</v>
      </c>
      <c r="AI58" s="328">
        <v>6230</v>
      </c>
      <c r="AJ58" s="328">
        <v>8700</v>
      </c>
      <c r="AK58" s="328">
        <v>6640</v>
      </c>
      <c r="AL58" s="328">
        <v>9280</v>
      </c>
      <c r="AM58" s="146">
        <v>4290</v>
      </c>
      <c r="AN58" s="136">
        <f t="shared" si="20"/>
        <v>-0.12981744421906694</v>
      </c>
      <c r="AO58" s="146">
        <f t="shared" si="21"/>
        <v>1716</v>
      </c>
      <c r="AP58" s="156">
        <f t="shared" si="22"/>
        <v>-0.7513043478260869</v>
      </c>
      <c r="AQ58" s="146">
        <v>4940</v>
      </c>
      <c r="AR58" s="156">
        <f t="shared" si="23"/>
        <v>-0.13028169014084512</v>
      </c>
      <c r="AS58" s="146">
        <v>6920</v>
      </c>
      <c r="AT58" s="156">
        <f t="shared" si="24"/>
        <v>-0.1306532663316583</v>
      </c>
      <c r="AU58" s="146">
        <v>5090</v>
      </c>
      <c r="AV58" s="156">
        <f t="shared" si="25"/>
        <v>-0.1299145299145299</v>
      </c>
      <c r="AW58" s="146">
        <v>7120</v>
      </c>
      <c r="AX58" s="156"/>
      <c r="AY58" s="146"/>
      <c r="AZ58" s="156"/>
      <c r="BA58" s="146"/>
      <c r="BB58" s="156"/>
      <c r="BC58" s="146"/>
      <c r="BD58" s="156"/>
      <c r="BE58" s="146"/>
      <c r="BF58" s="156"/>
    </row>
    <row r="59" spans="1:58" x14ac:dyDescent="0.25">
      <c r="A59" s="8"/>
      <c r="B59" s="19" t="str">
        <f>IF($C$1="ENG","I (240 - 260 mm)","I (240 - 260 мм)")</f>
        <v>I (240 - 260 мм)</v>
      </c>
      <c r="C59" s="306"/>
      <c r="D59" s="20">
        <f t="shared" si="0"/>
        <v>4300</v>
      </c>
      <c r="E59" s="116">
        <f t="shared" si="1"/>
        <v>5160</v>
      </c>
      <c r="F59" s="119">
        <f t="shared" si="2"/>
        <v>6025</v>
      </c>
      <c r="G59" s="47">
        <f t="shared" si="3"/>
        <v>7230</v>
      </c>
      <c r="H59" s="20">
        <f t="shared" si="4"/>
        <v>4958.3333333333339</v>
      </c>
      <c r="I59" s="116">
        <f t="shared" si="5"/>
        <v>5950.0000000000009</v>
      </c>
      <c r="J59" s="119">
        <f t="shared" si="6"/>
        <v>6941.666666666667</v>
      </c>
      <c r="K59" s="47">
        <f t="shared" si="7"/>
        <v>8330</v>
      </c>
      <c r="L59" s="20">
        <f t="shared" si="8"/>
        <v>5075</v>
      </c>
      <c r="M59" s="116">
        <f t="shared" si="9"/>
        <v>6090</v>
      </c>
      <c r="N59" s="119">
        <f t="shared" si="10"/>
        <v>7116.666666666667</v>
      </c>
      <c r="O59" s="47">
        <f t="shared" si="11"/>
        <v>8540</v>
      </c>
      <c r="P59" s="20">
        <f t="shared" si="12"/>
        <v>5408.3333333333339</v>
      </c>
      <c r="Q59" s="116">
        <f t="shared" si="13"/>
        <v>6490.0000000000009</v>
      </c>
      <c r="R59" s="119">
        <f t="shared" si="14"/>
        <v>7575</v>
      </c>
      <c r="S59" s="47">
        <f t="shared" si="15"/>
        <v>9090</v>
      </c>
      <c r="T59" s="20">
        <f t="shared" si="16"/>
        <v>5766.666666666667</v>
      </c>
      <c r="U59" s="116">
        <f t="shared" si="17"/>
        <v>6920</v>
      </c>
      <c r="V59" s="119">
        <f t="shared" si="18"/>
        <v>8066.666666666667</v>
      </c>
      <c r="W59" s="161">
        <f t="shared" si="19"/>
        <v>9680</v>
      </c>
      <c r="X59" s="158"/>
      <c r="Y59" s="39"/>
      <c r="Z59" s="23"/>
      <c r="AA59" s="39"/>
      <c r="AB59" s="18"/>
      <c r="AC59" s="328">
        <v>5160</v>
      </c>
      <c r="AD59" s="328">
        <v>7230</v>
      </c>
      <c r="AE59" s="328">
        <v>5950</v>
      </c>
      <c r="AF59" s="328">
        <v>8330</v>
      </c>
      <c r="AG59" s="328">
        <v>6090</v>
      </c>
      <c r="AH59" s="328">
        <v>8540</v>
      </c>
      <c r="AI59" s="328">
        <v>6490</v>
      </c>
      <c r="AJ59" s="328">
        <v>9090</v>
      </c>
      <c r="AK59" s="328">
        <v>6920</v>
      </c>
      <c r="AL59" s="328">
        <v>9680</v>
      </c>
      <c r="AM59" s="146">
        <v>4490</v>
      </c>
      <c r="AN59" s="136">
        <f t="shared" si="20"/>
        <v>-0.12984496124031009</v>
      </c>
      <c r="AO59" s="146">
        <f t="shared" si="21"/>
        <v>1796</v>
      </c>
      <c r="AP59" s="156">
        <f t="shared" si="22"/>
        <v>-0.75159059474412171</v>
      </c>
      <c r="AQ59" s="146">
        <v>5170</v>
      </c>
      <c r="AR59" s="156">
        <f t="shared" si="23"/>
        <v>-0.13109243697478989</v>
      </c>
      <c r="AS59" s="146">
        <v>7240</v>
      </c>
      <c r="AT59" s="156">
        <f t="shared" si="24"/>
        <v>-0.13085234093637454</v>
      </c>
      <c r="AU59" s="146">
        <v>5300</v>
      </c>
      <c r="AV59" s="156">
        <f t="shared" si="25"/>
        <v>-0.12972085385878485</v>
      </c>
      <c r="AW59" s="146">
        <v>7430</v>
      </c>
      <c r="AX59" s="156"/>
      <c r="AY59" s="146"/>
      <c r="AZ59" s="156"/>
      <c r="BA59" s="146"/>
      <c r="BB59" s="156"/>
      <c r="BC59" s="146"/>
      <c r="BD59" s="156"/>
      <c r="BE59" s="146"/>
      <c r="BF59" s="156"/>
    </row>
    <row r="60" spans="1:58" s="33" customFormat="1" ht="24.9" customHeight="1" x14ac:dyDescent="0.25">
      <c r="B60" s="36" t="str">
        <f>IF($C$1="ENG","ADJUSTABLE PANELS","ПЛАНКИ РЕГУЛЮВАЛЬНІ")</f>
        <v>ПЛАНКИ РЕГУЛЮВАЛЬНІ</v>
      </c>
      <c r="C60" s="164"/>
      <c r="D60" s="23"/>
      <c r="E60" s="350" t="str">
        <f>IF($C$1="ENG","For Door Frames Verto-FIT, Verto-FIT  Plus","Для Дверних Коробок Verto-FIT, Verto-FIT  Plus")</f>
        <v>Для Дверних Коробок Verto-FIT, Verto-FIT  Plus</v>
      </c>
      <c r="F60" s="350"/>
      <c r="G60" s="350"/>
      <c r="H60" s="350"/>
      <c r="I60" s="350"/>
      <c r="J60" s="350"/>
      <c r="K60" s="350"/>
      <c r="L60" s="23"/>
      <c r="M60" s="75"/>
      <c r="N60" s="23"/>
      <c r="O60" s="24"/>
      <c r="P60" s="23"/>
      <c r="Q60" s="75"/>
      <c r="R60" s="23"/>
      <c r="S60" s="24"/>
      <c r="T60" s="95"/>
      <c r="U60" s="97"/>
      <c r="V60" s="95"/>
      <c r="W60" s="96"/>
      <c r="Y60" s="39"/>
      <c r="Z60" s="23"/>
      <c r="AA60" s="39"/>
      <c r="AC60" s="89"/>
      <c r="AN60" s="37"/>
      <c r="AO60" s="152"/>
      <c r="AP60" s="152"/>
      <c r="AQ60" s="37"/>
      <c r="AR60" s="37"/>
      <c r="AS60" s="37"/>
      <c r="AT60" s="37"/>
    </row>
    <row r="61" spans="1:58" ht="34.5" customHeight="1" x14ac:dyDescent="0.25">
      <c r="A61" s="8"/>
      <c r="B61" s="12" t="str">
        <f>IF($C$1="ENG","Panel (1 set) 80 mm","Планка (1 к-т) 80 мм")</f>
        <v>Планка (1 к-т) 80 мм</v>
      </c>
      <c r="C61" s="307"/>
      <c r="D61" s="13">
        <f>IF(AC61="","",(1-$W$2)*(AC61/1.2))</f>
        <v>1016.6666666666667</v>
      </c>
      <c r="E61" s="131">
        <f>IF($W$5=0.2,D61*1.2,D61)/$W$4</f>
        <v>1220</v>
      </c>
      <c r="F61" s="117">
        <f>IF(AD61="","",(1-$W$2)*(AD61/1.2))</f>
        <v>1325</v>
      </c>
      <c r="G61" s="43">
        <f>IF($W$5=0.2,F61*1.2,F61)/$W$4</f>
        <v>1590</v>
      </c>
      <c r="H61" s="13">
        <f>IF(AE61="","",(1-$W$2)*(AE61/1.2))</f>
        <v>1183.3333333333335</v>
      </c>
      <c r="I61" s="114">
        <f>IF($W$5=0.2,H61*1.2,H61)/$W$4</f>
        <v>1420.0000000000002</v>
      </c>
      <c r="J61" s="117">
        <f>IF(AF61="","",(1-$W$2)*(AF61/1.2))</f>
        <v>1541.6666666666667</v>
      </c>
      <c r="K61" s="43">
        <f>IF($W$5=0.2,J61*1.2,J61)/$W$4</f>
        <v>1850</v>
      </c>
      <c r="L61" s="13">
        <f>IF(AG61="","",(1-$W$2)*(AG61/1.2))</f>
        <v>1233.3333333333335</v>
      </c>
      <c r="M61" s="114">
        <f>IF($W$5=0.2,L61*1.2,L61)/$W$4</f>
        <v>1480.0000000000002</v>
      </c>
      <c r="N61" s="117">
        <f>IF(AH61="","",(1-$W$2)*(AH61/1.2))</f>
        <v>1616.6666666666667</v>
      </c>
      <c r="O61" s="43">
        <f>IF($W$5=0.2,N61*1.2,N61)/$W$4</f>
        <v>1940</v>
      </c>
      <c r="P61" s="13">
        <f>IF(AI61="","",(1-$W$2)*(AI61/1.2))</f>
        <v>1341.6666666666665</v>
      </c>
      <c r="Q61" s="114">
        <f>IF($W$5=0.2,P61*1.2,P61)/$W$4</f>
        <v>1609.9999999999998</v>
      </c>
      <c r="R61" s="117">
        <f>IF(AJ61="","",(1-$W$2)*(AJ61/1.2))</f>
        <v>1741.6666666666667</v>
      </c>
      <c r="S61" s="43">
        <f>IF($W$5=0.2,R61*1.2,R61)/$W$4</f>
        <v>2090</v>
      </c>
      <c r="T61" s="13">
        <f>IF(AK61="","",(1-$W$2)*(AK61/1.2))</f>
        <v>1408.3333333333335</v>
      </c>
      <c r="U61" s="114">
        <f>IF($W$5=0.2,T61*1.2,T61)/$W$4</f>
        <v>1690.0000000000002</v>
      </c>
      <c r="V61" s="117">
        <f>IF(AL61="","",(1-$W$2)*(AL61/1.2))</f>
        <v>1833.3333333333335</v>
      </c>
      <c r="W61" s="159">
        <f>IF($W$5=0.2,V61*1.2,V61)/$W$4</f>
        <v>2200</v>
      </c>
      <c r="X61" s="158"/>
      <c r="Y61" s="158"/>
      <c r="Z61" s="158"/>
      <c r="AA61" s="158"/>
      <c r="AB61" s="18"/>
      <c r="AC61" s="1">
        <v>1220</v>
      </c>
      <c r="AD61" s="1">
        <v>1590</v>
      </c>
      <c r="AE61" s="1">
        <v>1420</v>
      </c>
      <c r="AF61" s="1">
        <v>1850</v>
      </c>
      <c r="AG61" s="1">
        <v>1480</v>
      </c>
      <c r="AH61" s="1">
        <v>1940</v>
      </c>
      <c r="AI61" s="1">
        <v>1609.9999999999998</v>
      </c>
      <c r="AJ61" s="1">
        <v>2090</v>
      </c>
      <c r="AK61" s="1">
        <v>1690</v>
      </c>
      <c r="AL61" s="1">
        <v>2200</v>
      </c>
      <c r="AM61" s="146">
        <v>1060</v>
      </c>
      <c r="AN61" s="136">
        <f>AM61/AC61-1</f>
        <v>-0.13114754098360659</v>
      </c>
      <c r="AO61" s="146">
        <v>1380</v>
      </c>
      <c r="AP61" s="156">
        <f>AO61/AD61-1</f>
        <v>-0.13207547169811318</v>
      </c>
      <c r="AQ61" s="146">
        <v>1230</v>
      </c>
      <c r="AR61" s="146">
        <f>AQ61/AE61-1</f>
        <v>-0.13380281690140849</v>
      </c>
      <c r="AS61" s="146">
        <v>1610</v>
      </c>
      <c r="AT61" s="146">
        <f>AS61/AF61-1</f>
        <v>-0.12972972972972974</v>
      </c>
      <c r="AU61" s="146">
        <v>1290</v>
      </c>
      <c r="AV61" s="146">
        <f>AU61/AG61-1</f>
        <v>-0.1283783783783784</v>
      </c>
      <c r="AW61" s="1">
        <v>1690</v>
      </c>
    </row>
    <row r="62" spans="1:58" ht="34.5" customHeight="1" x14ac:dyDescent="0.25">
      <c r="A62" s="8"/>
      <c r="B62" s="14" t="str">
        <f>IF($C$1="ENG","Panel (1 set) 160 mm","Планка (1 к-т) 160 мм")</f>
        <v>Планка (1 к-т) 160 мм</v>
      </c>
      <c r="C62" s="305"/>
      <c r="D62" s="15">
        <f>IF(AC62="","",(1-$W$2)*(AC62/1.2))</f>
        <v>1733.3333333333335</v>
      </c>
      <c r="E62" s="115">
        <f>IF($W$5=0.2,D62*1.2,D62)/$W$4</f>
        <v>2080</v>
      </c>
      <c r="F62" s="118">
        <f>IF(AD62="","",(1-$W$2)*(AD62/1.2))</f>
        <v>2250</v>
      </c>
      <c r="G62" s="45">
        <f>IF($W$5=0.2,F62*1.2,F62)/$W$4</f>
        <v>2700</v>
      </c>
      <c r="H62" s="15">
        <f>IF(AE62="","",(1-$W$2)*(AE62/1.2))</f>
        <v>2000</v>
      </c>
      <c r="I62" s="115">
        <f>IF($W$5=0.2,H62*1.2,H62)/$W$4</f>
        <v>2400</v>
      </c>
      <c r="J62" s="118">
        <f>IF(AF62="","",(1-$W$2)*(AF62/1.2))</f>
        <v>2616.666666666667</v>
      </c>
      <c r="K62" s="45">
        <f>IF($W$5=0.2,J62*1.2,J62)/$W$4</f>
        <v>3140.0000000000005</v>
      </c>
      <c r="L62" s="15">
        <f>IF(AG62="","",(1-$W$2)*(AG62/1.2))</f>
        <v>2133.3333333333335</v>
      </c>
      <c r="M62" s="115">
        <f>IF($W$5=0.2,L62*1.2,L62)/$W$4</f>
        <v>2560</v>
      </c>
      <c r="N62" s="118">
        <f>IF(AH62="","",(1-$W$2)*(AH62/1.2))</f>
        <v>2766.666666666667</v>
      </c>
      <c r="O62" s="45">
        <f>IF($W$5=0.2,N62*1.2,N62)/$W$4</f>
        <v>3320.0000000000005</v>
      </c>
      <c r="P62" s="15">
        <f>IF(AI62="","",(1-$W$2)*(AI62/1.2))</f>
        <v>2266.666666666667</v>
      </c>
      <c r="Q62" s="115">
        <f>IF($W$5=0.2,P62*1.2,P62)/$W$4</f>
        <v>2720.0000000000005</v>
      </c>
      <c r="R62" s="118">
        <f>IF(AJ62="","",(1-$W$2)*(AJ62/1.2))</f>
        <v>2958.3333333333335</v>
      </c>
      <c r="S62" s="45">
        <f>IF($W$5=0.2,R62*1.2,R62)/$W$4</f>
        <v>3550</v>
      </c>
      <c r="T62" s="15">
        <f>IF(AK62="","",(1-$W$2)*(AK62/1.2))</f>
        <v>2458.3333333333335</v>
      </c>
      <c r="U62" s="115">
        <f>IF($W$5=0.2,T62*1.2,T62)/$W$4</f>
        <v>2950</v>
      </c>
      <c r="V62" s="118">
        <f>IF(AL62="","",(1-$W$2)*(AL62/1.2))</f>
        <v>3175</v>
      </c>
      <c r="W62" s="45">
        <f>IF($W$5=0.2,V62*1.2,V62)/$W$4</f>
        <v>3810</v>
      </c>
      <c r="X62" s="18"/>
      <c r="Y62" s="18"/>
      <c r="Z62" s="18"/>
      <c r="AA62" s="18"/>
      <c r="AB62" s="18"/>
      <c r="AC62" s="1">
        <v>2080</v>
      </c>
      <c r="AD62" s="1">
        <v>2700</v>
      </c>
      <c r="AE62" s="1">
        <v>2400</v>
      </c>
      <c r="AF62" s="1">
        <v>3140</v>
      </c>
      <c r="AG62" s="1">
        <v>2560</v>
      </c>
      <c r="AH62" s="1">
        <v>3320</v>
      </c>
      <c r="AI62" s="1">
        <v>2720</v>
      </c>
      <c r="AJ62" s="1">
        <v>3550</v>
      </c>
      <c r="AK62" s="1">
        <v>2950</v>
      </c>
      <c r="AL62" s="1">
        <v>3810</v>
      </c>
      <c r="AM62" s="146">
        <v>1810</v>
      </c>
      <c r="AN62" s="136">
        <f>AM62/AC62-1</f>
        <v>-0.12980769230769229</v>
      </c>
      <c r="AO62" s="146">
        <v>2350</v>
      </c>
      <c r="AP62" s="156">
        <f>AO62/AD62-1</f>
        <v>-0.12962962962962965</v>
      </c>
      <c r="AQ62" s="146">
        <v>2090</v>
      </c>
      <c r="AR62" s="146">
        <f>AQ62/AE62-1</f>
        <v>-0.12916666666666665</v>
      </c>
      <c r="AS62" s="146">
        <v>2730</v>
      </c>
      <c r="AT62" s="146">
        <f>AS62/AF62-1</f>
        <v>-0.13057324840764328</v>
      </c>
      <c r="AU62" s="146">
        <v>2230</v>
      </c>
      <c r="AV62" s="146">
        <f>AU62/AG62-1</f>
        <v>-0.12890625</v>
      </c>
      <c r="AW62" s="1">
        <v>2890</v>
      </c>
    </row>
    <row r="63" spans="1:58" ht="34.5" customHeight="1" x14ac:dyDescent="0.25">
      <c r="A63" s="8"/>
      <c r="B63" s="19" t="str">
        <f>IF($C$1="ENG","Panel (1 set) 200 mm","Планка (1 к-т) 200 мм")</f>
        <v>Планка (1 к-т) 200 мм</v>
      </c>
      <c r="C63" s="306"/>
      <c r="D63" s="20">
        <f>IF(AC63="","",(1-$W$2)*(AC63/1.2))</f>
        <v>2108.3333333333335</v>
      </c>
      <c r="E63" s="116">
        <f>IF($W$5=0.2,D63*1.2,D63)/$W$4</f>
        <v>2530</v>
      </c>
      <c r="F63" s="119">
        <f>IF(AD63="","",(1-$W$2)*(AD63/1.2))</f>
        <v>2741.666666666667</v>
      </c>
      <c r="G63" s="47">
        <f>IF($W$5=0.2,F63*1.2,F63)/$W$4</f>
        <v>3290.0000000000005</v>
      </c>
      <c r="H63" s="20">
        <f>IF(AE63="","",(1-$W$2)*(AE63/1.2))</f>
        <v>2433.3333333333335</v>
      </c>
      <c r="I63" s="116">
        <f>IF($W$5=0.2,H63*1.2,H63)/$W$4</f>
        <v>2920</v>
      </c>
      <c r="J63" s="119">
        <f>IF(AF63="","",(1-$W$2)*(AF63/1.2))</f>
        <v>3166.666666666667</v>
      </c>
      <c r="K63" s="47">
        <f>IF($W$5=0.2,J63*1.2,J63)/$W$4</f>
        <v>3800</v>
      </c>
      <c r="L63" s="20">
        <f>IF(AG63="","",(1-$W$2)*(AG63/1.2))</f>
        <v>2616.666666666667</v>
      </c>
      <c r="M63" s="116">
        <f>IF($W$5=0.2,L63*1.2,L63)/$W$4</f>
        <v>3140.0000000000005</v>
      </c>
      <c r="N63" s="119">
        <f>IF(AH63="","",(1-$W$2)*(AH63/1.2))</f>
        <v>3391.666666666667</v>
      </c>
      <c r="O63" s="47">
        <f>IF($W$5=0.2,N63*1.2,N63)/$W$4</f>
        <v>4070</v>
      </c>
      <c r="P63" s="20">
        <f>IF(AI63="","",(1-$W$2)*(AI63/1.2))</f>
        <v>2750</v>
      </c>
      <c r="Q63" s="116">
        <f>IF($W$5=0.2,P63*1.2,P63)/$W$4</f>
        <v>3300</v>
      </c>
      <c r="R63" s="119">
        <f>IF(AJ63="","",(1-$W$2)*(AJ63/1.2))</f>
        <v>3575</v>
      </c>
      <c r="S63" s="47">
        <f>IF($W$5=0.2,R63*1.2,R63)/$W$4</f>
        <v>4290</v>
      </c>
      <c r="T63" s="20">
        <f>IF(AK63="","",(1-$W$2)*(AK63/1.2))</f>
        <v>2991.666666666667</v>
      </c>
      <c r="U63" s="116">
        <f>IF($W$5=0.2,T63*1.2,T63)/$W$4</f>
        <v>3590.0000000000005</v>
      </c>
      <c r="V63" s="119">
        <f>IF(AL63="","",(1-$W$2)*(AL63/1.2))</f>
        <v>3891.666666666667</v>
      </c>
      <c r="W63" s="47">
        <f>IF($W$5=0.2,V63*1.2,V63)/$W$4</f>
        <v>4670</v>
      </c>
      <c r="X63" s="18"/>
      <c r="Y63" s="18"/>
      <c r="Z63" s="18"/>
      <c r="AA63" s="18"/>
      <c r="AB63" s="18"/>
      <c r="AC63" s="1">
        <v>2530</v>
      </c>
      <c r="AD63" s="1">
        <v>3290</v>
      </c>
      <c r="AE63" s="1">
        <v>2920</v>
      </c>
      <c r="AF63" s="1">
        <v>3800</v>
      </c>
      <c r="AG63" s="1">
        <v>3140</v>
      </c>
      <c r="AH63" s="1">
        <v>4070</v>
      </c>
      <c r="AI63" s="1">
        <v>3300</v>
      </c>
      <c r="AJ63" s="1">
        <v>4290</v>
      </c>
      <c r="AK63" s="1">
        <v>3590</v>
      </c>
      <c r="AL63" s="1">
        <v>4670</v>
      </c>
      <c r="AM63" s="146">
        <v>2200</v>
      </c>
      <c r="AN63" s="136">
        <f>AM63/AC63-1</f>
        <v>-0.13043478260869568</v>
      </c>
      <c r="AO63" s="146">
        <v>2860</v>
      </c>
      <c r="AP63" s="156">
        <f>AO63/AD63-1</f>
        <v>-0.1306990881458967</v>
      </c>
      <c r="AQ63" s="146">
        <v>2540</v>
      </c>
      <c r="AR63" s="146">
        <f>AQ63/AE63-1</f>
        <v>-0.13013698630136983</v>
      </c>
      <c r="AS63" s="146">
        <v>3300</v>
      </c>
      <c r="AT63" s="146">
        <f>AS63/AF63-1</f>
        <v>-0.13157894736842102</v>
      </c>
      <c r="AU63" s="146">
        <v>2730</v>
      </c>
      <c r="AV63" s="146">
        <f>AU63/AG63-1</f>
        <v>-0.13057324840764328</v>
      </c>
      <c r="AW63" s="1">
        <v>3540</v>
      </c>
    </row>
    <row r="64" spans="1:58" x14ac:dyDescent="0.25">
      <c r="C64" s="110"/>
      <c r="D64" s="21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AD64" s="1">
        <f>AD63-AC63</f>
        <v>760</v>
      </c>
      <c r="AF64" s="1">
        <f>AF63-AE63</f>
        <v>880</v>
      </c>
      <c r="AH64" s="1">
        <f>AH63-AG63</f>
        <v>930</v>
      </c>
      <c r="AJ64" s="1">
        <f>AJ63-AI63</f>
        <v>990</v>
      </c>
      <c r="AL64" s="1">
        <f>AL63-AK63</f>
        <v>1080</v>
      </c>
      <c r="AP64" s="145"/>
      <c r="AQ64" s="145"/>
      <c r="AR64" s="145"/>
      <c r="AT64" s="151"/>
    </row>
    <row r="65" spans="1:49" ht="12.75" customHeight="1" x14ac:dyDescent="0.25">
      <c r="B65" s="211" t="str">
        <f>IF($C$1="ENG","For additonal charge:","Послуги за додаткову плату:")</f>
        <v>Послуги за додаткову плату:</v>
      </c>
      <c r="C65" s="212"/>
      <c r="D65" s="213"/>
      <c r="E65" s="214"/>
      <c r="F65" s="213"/>
      <c r="G65" s="213"/>
      <c r="H65" s="297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</row>
    <row r="66" spans="1:49" ht="5.0999999999999996" customHeight="1" x14ac:dyDescent="0.25">
      <c r="B66" s="22"/>
      <c r="C66" s="110"/>
      <c r="D66" s="21"/>
      <c r="E66" s="38"/>
      <c r="F66" s="21"/>
      <c r="G66" s="21"/>
      <c r="H66" s="10"/>
      <c r="I66" s="8"/>
      <c r="J66" s="8"/>
      <c r="K66" s="8"/>
      <c r="U66" s="17"/>
      <c r="W66" s="17"/>
      <c r="AP66" s="146"/>
      <c r="AQ66" s="146"/>
      <c r="AR66" s="146"/>
      <c r="AS66" s="136"/>
      <c r="AT66" s="150"/>
    </row>
    <row r="67" spans="1:49" x14ac:dyDescent="0.25">
      <c r="B67" s="351" t="str">
        <f>IF($C$1="ENG","third door hindge","третя завіса")</f>
        <v>третя завіса</v>
      </c>
      <c r="C67" s="352"/>
      <c r="D67" s="34">
        <f>IF(AC67="","",(1-$W$2)*(AC67/1.2))</f>
        <v>75</v>
      </c>
      <c r="E67" s="61">
        <f>IF($W$5=0.2,D67*1.2,D67)/$W$4</f>
        <v>90</v>
      </c>
      <c r="F67" s="21"/>
      <c r="G67" s="21"/>
      <c r="H67" s="10"/>
      <c r="I67" s="60"/>
      <c r="J67" s="8"/>
      <c r="K67" s="60"/>
      <c r="U67" s="17"/>
      <c r="W67" s="17"/>
      <c r="AC67" s="130">
        <v>90</v>
      </c>
      <c r="AE67" s="25"/>
      <c r="AF67" s="129"/>
      <c r="AG67" s="129"/>
      <c r="AH67" s="129"/>
      <c r="AI67" s="129"/>
      <c r="AJ67" s="129"/>
      <c r="AK67" s="129"/>
      <c r="AL67" s="129"/>
      <c r="AP67" s="145"/>
      <c r="AQ67" s="145"/>
      <c r="AR67" s="145"/>
      <c r="AT67" s="151"/>
    </row>
    <row r="68" spans="1:49" x14ac:dyDescent="0.25">
      <c r="T68" s="341"/>
      <c r="U68" s="341"/>
      <c r="V68" s="341"/>
      <c r="W68" s="341"/>
      <c r="AP68" s="145"/>
      <c r="AQ68" s="145"/>
      <c r="AR68" s="145"/>
      <c r="AT68" s="151"/>
    </row>
    <row r="69" spans="1:49" x14ac:dyDescent="0.25">
      <c r="C69" s="110"/>
      <c r="D69" s="21"/>
      <c r="E69" s="21"/>
      <c r="F69" s="21"/>
      <c r="G69" s="38"/>
      <c r="H69" s="5"/>
      <c r="K69" s="60"/>
      <c r="L69" s="122"/>
      <c r="O69" s="38"/>
      <c r="P69" s="122"/>
      <c r="S69" s="38"/>
      <c r="T69" s="122"/>
      <c r="W69" s="38"/>
      <c r="X69" s="122"/>
      <c r="Y69" s="122"/>
      <c r="Z69" s="122"/>
      <c r="AA69" s="122"/>
      <c r="AB69" s="122"/>
      <c r="AP69" s="145"/>
      <c r="AQ69" s="145"/>
      <c r="AR69" s="145"/>
      <c r="AT69" s="151"/>
    </row>
    <row r="70" spans="1:49" x14ac:dyDescent="0.25">
      <c r="C70" s="110"/>
      <c r="D70" s="21"/>
      <c r="E70" s="21"/>
      <c r="F70" s="21"/>
      <c r="G70" s="38"/>
      <c r="H70" s="122"/>
      <c r="K70" s="38"/>
      <c r="L70" s="122"/>
      <c r="M70" s="112"/>
      <c r="N70" s="110"/>
      <c r="O70" s="112"/>
      <c r="P70" s="122"/>
      <c r="Q70" s="112"/>
      <c r="R70" s="110"/>
      <c r="S70" s="112"/>
      <c r="T70" s="122"/>
      <c r="U70" s="112"/>
      <c r="V70" s="110"/>
      <c r="W70" s="112"/>
      <c r="X70" s="122"/>
      <c r="Y70" s="122"/>
      <c r="Z70" s="122"/>
      <c r="AA70" s="122"/>
      <c r="AB70" s="122"/>
      <c r="AP70" s="145"/>
      <c r="AQ70" s="145"/>
      <c r="AR70" s="145"/>
      <c r="AT70" s="151"/>
    </row>
    <row r="71" spans="1:49" x14ac:dyDescent="0.25">
      <c r="C71" s="110"/>
      <c r="D71" s="110"/>
      <c r="F71" s="110"/>
      <c r="G71" s="112"/>
      <c r="H71" s="122"/>
      <c r="I71" s="112"/>
      <c r="J71" s="110"/>
      <c r="K71" s="112"/>
      <c r="L71" s="122"/>
      <c r="M71" s="125"/>
      <c r="N71" s="110"/>
      <c r="O71" s="112"/>
      <c r="P71" s="122"/>
      <c r="Q71" s="125"/>
      <c r="R71" s="110"/>
      <c r="S71" s="112"/>
      <c r="T71" s="122"/>
      <c r="U71" s="125"/>
      <c r="V71" s="110"/>
      <c r="W71" s="112"/>
      <c r="X71" s="122"/>
      <c r="Y71" s="122"/>
      <c r="Z71" s="122"/>
      <c r="AA71" s="122"/>
      <c r="AB71" s="122"/>
    </row>
    <row r="72" spans="1:49" s="8" customFormat="1" ht="24.9" customHeight="1" x14ac:dyDescent="0.25">
      <c r="B72" s="246" t="str">
        <f>TITLE!$C$43</f>
        <v>Дверна коробка Verto-FIT Plus</v>
      </c>
      <c r="C72" s="244"/>
      <c r="D72" s="245"/>
      <c r="E72" s="217"/>
      <c r="F72" s="216"/>
      <c r="G72" s="299" t="str">
        <f>IF($C$1="ENG","For Door Leafs with Rebbit","Для Дверних Полотен з Фальцем")</f>
        <v>Для Дверних Полотен з Фальцем</v>
      </c>
      <c r="H72" s="216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185"/>
      <c r="AN72" s="123"/>
      <c r="AO72" s="123"/>
      <c r="AP72" s="123"/>
      <c r="AQ72" s="123"/>
      <c r="AR72" s="123"/>
      <c r="AS72" s="123"/>
      <c r="AT72" s="123"/>
    </row>
    <row r="73" spans="1:49" s="8" customFormat="1" ht="5.0999999999999996" customHeight="1" x14ac:dyDescent="0.25">
      <c r="C73" s="163"/>
      <c r="T73" s="174"/>
      <c r="U73" s="174"/>
      <c r="V73" s="174"/>
      <c r="W73" s="174"/>
      <c r="AN73" s="123"/>
      <c r="AO73" s="123"/>
      <c r="AP73" s="123"/>
      <c r="AQ73" s="123"/>
      <c r="AR73" s="123"/>
      <c r="AS73" s="123"/>
      <c r="AT73" s="123"/>
    </row>
    <row r="74" spans="1:49" ht="12.75" customHeight="1" x14ac:dyDescent="0.25">
      <c r="A74" s="8"/>
      <c r="B74" s="133" t="str">
        <f>IF($C$1="ENG","model","модель")</f>
        <v>модель</v>
      </c>
      <c r="C74" s="85" t="str">
        <f>IF($C$1="ENG","cover:","покриття:")</f>
        <v>покриття:</v>
      </c>
      <c r="D74" s="344" t="str">
        <f>IF($C$1="ENG","SIMPLEX / VERTO-CELL","SIMPLEX / VERTO-CELL")</f>
        <v>SIMPLEX / VERTO-CELL</v>
      </c>
      <c r="E74" s="353"/>
      <c r="F74" s="353"/>
      <c r="G74" s="345"/>
      <c r="H74" s="344" t="str">
        <f>IF($C$1="ENG","UNI-MAT","UNI-MAT")</f>
        <v>UNI-MAT</v>
      </c>
      <c r="I74" s="353"/>
      <c r="J74" s="353"/>
      <c r="K74" s="345"/>
      <c r="L74" s="344" t="str">
        <f>IF($C$1="ENG","RESIST","RESIST")</f>
        <v>RESIST</v>
      </c>
      <c r="M74" s="353"/>
      <c r="N74" s="353"/>
      <c r="O74" s="345"/>
      <c r="P74" s="344" t="str">
        <f>IF($C$1="ENG","Verto LINE-3D","Verto LINE-3D")</f>
        <v>Verto LINE-3D</v>
      </c>
      <c r="Q74" s="353"/>
      <c r="R74" s="353"/>
      <c r="S74" s="345"/>
      <c r="T74" s="344" t="str">
        <f>IF($C$1="ENG","Premium / LOFT","Premium/ LOFT")</f>
        <v>Premium/ LOFT</v>
      </c>
      <c r="U74" s="353"/>
      <c r="V74" s="353"/>
      <c r="W74" s="345"/>
      <c r="AO74" s="147"/>
    </row>
    <row r="75" spans="1:49" ht="12.75" customHeight="1" x14ac:dyDescent="0.25">
      <c r="A75" s="8"/>
      <c r="B75" s="135"/>
      <c r="C75" s="86" t="str">
        <f>IF($C$1="ENG","type:","виконання:")</f>
        <v>виконання:</v>
      </c>
      <c r="D75" s="342" t="str">
        <f>IF($C$1="ENG","single leaf","одностулкове")</f>
        <v>одностулкове</v>
      </c>
      <c r="E75" s="348"/>
      <c r="F75" s="355" t="str">
        <f>IF($C$1="ENG","double leaf","двостулкові")</f>
        <v>двостулкові</v>
      </c>
      <c r="G75" s="343"/>
      <c r="H75" s="342" t="str">
        <f>IF($C$1="ENG","single leaf","одностулкове")</f>
        <v>одностулкове</v>
      </c>
      <c r="I75" s="348"/>
      <c r="J75" s="355" t="str">
        <f>IF($C$1="ENG","double leaf","двостулкові")</f>
        <v>двостулкові</v>
      </c>
      <c r="K75" s="343"/>
      <c r="L75" s="342" t="str">
        <f>IF($C$1="ENG","single leaf","одностулкове")</f>
        <v>одностулкове</v>
      </c>
      <c r="M75" s="348"/>
      <c r="N75" s="349" t="str">
        <f>IF($C$1="ENG","double leaf","двостулкові")</f>
        <v>двостулкові</v>
      </c>
      <c r="O75" s="343"/>
      <c r="P75" s="342" t="str">
        <f>IF($C$1="ENG","single leaf","одностулкове")</f>
        <v>одностулкове</v>
      </c>
      <c r="Q75" s="348"/>
      <c r="R75" s="349" t="str">
        <f>IF($C$1="ENG","double leaf","двостулкові")</f>
        <v>двостулкові</v>
      </c>
      <c r="S75" s="343"/>
      <c r="T75" s="342" t="str">
        <f>IF($C$1="ENG","single leaf","одностулкове")</f>
        <v>одностулкове</v>
      </c>
      <c r="U75" s="348"/>
      <c r="V75" s="349" t="str">
        <f>IF($C$1="ENG","double leaf","двостулкові")</f>
        <v>двостулкові</v>
      </c>
      <c r="W75" s="343"/>
    </row>
    <row r="76" spans="1:49" ht="12.75" customHeight="1" x14ac:dyDescent="0.25">
      <c r="A76" s="8"/>
      <c r="B76" s="12" t="str">
        <f>IF($C$1="ENG","A (75 - 95 mm)","A (75 - 95 мм)")</f>
        <v>A (75 - 95 мм)</v>
      </c>
      <c r="C76" s="304"/>
      <c r="D76" s="13">
        <f t="shared" ref="D76:D85" si="26">IF(AC76="","",(1-$W$2)*(AC76/1.2))</f>
        <v>3183.3333333333335</v>
      </c>
      <c r="E76" s="114">
        <f t="shared" ref="E76:E85" si="27">IF($W$5=0.2,D76*1.2,D76)/$W$4</f>
        <v>3820</v>
      </c>
      <c r="F76" s="117">
        <f t="shared" ref="F76:F85" si="28">IF(AD76="","",(1-$W$2)*(AD76/1.2))</f>
        <v>4466.666666666667</v>
      </c>
      <c r="G76" s="43">
        <f t="shared" ref="G76:G85" si="29">IF($W$5=0.2,F76*1.2,F76)/$W$4</f>
        <v>5360</v>
      </c>
      <c r="H76" s="13">
        <f t="shared" ref="H76:H85" si="30">IF(AE76="","",(1-$W$2)*(AE76/1.2))</f>
        <v>3658.3333333333335</v>
      </c>
      <c r="I76" s="114">
        <f t="shared" ref="I76:I85" si="31">IF($W$5=0.2,H76*1.2,H76)/$W$4</f>
        <v>4390</v>
      </c>
      <c r="J76" s="117">
        <f t="shared" ref="J76:J85" si="32">IF(AF76="","",(1-$W$2)*(AF76/1.2))</f>
        <v>5125</v>
      </c>
      <c r="K76" s="43">
        <f t="shared" ref="K76:K85" si="33">IF($W$5=0.2,J76*1.2,J76)/$W$4</f>
        <v>6150</v>
      </c>
      <c r="L76" s="13">
        <f t="shared" ref="L76:L85" si="34">IF(AG76="","",(1-$W$2)*(AG76/1.2))</f>
        <v>3891.666666666667</v>
      </c>
      <c r="M76" s="114">
        <f t="shared" ref="M76:M85" si="35">IF($W$5=0.2,L76*1.2,L76)/$W$4</f>
        <v>4670</v>
      </c>
      <c r="N76" s="117">
        <f t="shared" ref="N76:N85" si="36">IF(AH76="","",(1-$W$2)*(AH76/1.2))</f>
        <v>5450</v>
      </c>
      <c r="O76" s="43">
        <f t="shared" ref="O76:O85" si="37">IF($W$5=0.2,N76*1.2,N76)/$W$4</f>
        <v>6540</v>
      </c>
      <c r="P76" s="13">
        <f t="shared" ref="P76:P85" si="38">IF(AI76="","",(1-$W$2)*(AI76/1.2))</f>
        <v>4158.3333333333339</v>
      </c>
      <c r="Q76" s="114">
        <f t="shared" ref="Q76:Q85" si="39">IF($W$5=0.2,P76*1.2,P76)/$W$4</f>
        <v>4990.0000000000009</v>
      </c>
      <c r="R76" s="117">
        <f t="shared" ref="R76:R85" si="40">IF(AJ76="","",(1-$W$2)*(AJ76/1.2))</f>
        <v>5825</v>
      </c>
      <c r="S76" s="43">
        <f t="shared" ref="S76:S85" si="41">IF($W$5=0.2,R76*1.2,R76)/$W$4</f>
        <v>6990</v>
      </c>
      <c r="T76" s="13">
        <f t="shared" ref="T76:T85" si="42">IF(AK76="","",(1-$W$2)*(AK76/1.2))</f>
        <v>4466.666666666667</v>
      </c>
      <c r="U76" s="114">
        <f t="shared" ref="U76:U85" si="43">IF($W$5=0.2,T76*1.2,T76)/$W$4</f>
        <v>5360</v>
      </c>
      <c r="V76" s="117">
        <f t="shared" ref="V76:V85" si="44">IF(AL76="","",(1-$W$2)*(AL76/1.2))</f>
        <v>6250</v>
      </c>
      <c r="W76" s="43">
        <f t="shared" ref="W76:W85" si="45">IF($W$5=0.2,V76*1.2,V76)/$W$4</f>
        <v>7500</v>
      </c>
      <c r="X76" s="18"/>
      <c r="Y76" s="18"/>
      <c r="Z76" s="18"/>
      <c r="AA76" s="18"/>
      <c r="AB76" s="18"/>
      <c r="AC76" s="329">
        <v>3820</v>
      </c>
      <c r="AD76" s="329">
        <v>5360</v>
      </c>
      <c r="AE76" s="329">
        <v>4390</v>
      </c>
      <c r="AF76" s="329">
        <v>6150</v>
      </c>
      <c r="AG76" s="329">
        <v>4670</v>
      </c>
      <c r="AH76" s="329">
        <v>6540</v>
      </c>
      <c r="AI76" s="329">
        <v>4990</v>
      </c>
      <c r="AJ76" s="329">
        <v>6990</v>
      </c>
      <c r="AK76" s="329">
        <v>5360</v>
      </c>
      <c r="AL76" s="329">
        <v>7500</v>
      </c>
      <c r="AM76" s="146">
        <v>3320</v>
      </c>
      <c r="AN76" s="136">
        <f>AM76/AC76-1</f>
        <v>-0.13089005235602091</v>
      </c>
      <c r="AO76" s="146">
        <v>4660</v>
      </c>
      <c r="AP76" s="156">
        <f>AO76/AD76-1</f>
        <v>-0.13059701492537312</v>
      </c>
      <c r="AQ76" s="146">
        <v>3820</v>
      </c>
      <c r="AR76" s="146">
        <f>AQ76/AE76-1</f>
        <v>-0.12984054669703871</v>
      </c>
      <c r="AS76" s="146">
        <v>5350</v>
      </c>
      <c r="AT76" s="146">
        <f>AS76/AF76-1</f>
        <v>-0.13008130081300817</v>
      </c>
      <c r="AU76" s="146">
        <v>4060</v>
      </c>
      <c r="AV76" s="146">
        <f>AU76/AG76-1</f>
        <v>-0.13062098501070663</v>
      </c>
      <c r="AW76" s="146">
        <v>5690</v>
      </c>
    </row>
    <row r="77" spans="1:49" x14ac:dyDescent="0.25">
      <c r="A77" s="8"/>
      <c r="B77" s="14" t="str">
        <f>IF($C$1="ENG","B (95 - 115 mm)","B (95 - 115 мм)")</f>
        <v>B (95 - 115 мм)</v>
      </c>
      <c r="C77" s="305"/>
      <c r="D77" s="15">
        <f t="shared" si="26"/>
        <v>3350</v>
      </c>
      <c r="E77" s="115">
        <f t="shared" si="27"/>
        <v>4020</v>
      </c>
      <c r="F77" s="118">
        <f t="shared" si="28"/>
        <v>4691.666666666667</v>
      </c>
      <c r="G77" s="45">
        <f t="shared" si="29"/>
        <v>5630</v>
      </c>
      <c r="H77" s="15">
        <f t="shared" si="30"/>
        <v>3875</v>
      </c>
      <c r="I77" s="115">
        <f t="shared" si="31"/>
        <v>4650</v>
      </c>
      <c r="J77" s="118">
        <f t="shared" si="32"/>
        <v>5391.666666666667</v>
      </c>
      <c r="K77" s="45">
        <f t="shared" si="33"/>
        <v>6470</v>
      </c>
      <c r="L77" s="15">
        <f t="shared" si="34"/>
        <v>4091.666666666667</v>
      </c>
      <c r="M77" s="115">
        <f t="shared" si="35"/>
        <v>4910</v>
      </c>
      <c r="N77" s="118">
        <f t="shared" si="36"/>
        <v>5733.3333333333339</v>
      </c>
      <c r="O77" s="45">
        <f t="shared" si="37"/>
        <v>6880.0000000000009</v>
      </c>
      <c r="P77" s="15">
        <f t="shared" si="38"/>
        <v>4391.666666666667</v>
      </c>
      <c r="Q77" s="115">
        <f t="shared" si="39"/>
        <v>5270</v>
      </c>
      <c r="R77" s="118">
        <f t="shared" si="40"/>
        <v>6141.666666666667</v>
      </c>
      <c r="S77" s="45">
        <f t="shared" si="41"/>
        <v>7370</v>
      </c>
      <c r="T77" s="15">
        <f t="shared" si="42"/>
        <v>4683.3333333333339</v>
      </c>
      <c r="U77" s="115">
        <f t="shared" si="43"/>
        <v>5620.0000000000009</v>
      </c>
      <c r="V77" s="118">
        <f t="shared" si="44"/>
        <v>6566.666666666667</v>
      </c>
      <c r="W77" s="45">
        <f t="shared" si="45"/>
        <v>7880</v>
      </c>
      <c r="X77" s="18"/>
      <c r="Y77" s="18"/>
      <c r="Z77" s="18"/>
      <c r="AA77" s="18"/>
      <c r="AB77" s="18"/>
      <c r="AC77" s="329">
        <v>4020</v>
      </c>
      <c r="AD77" s="329">
        <v>5630</v>
      </c>
      <c r="AE77" s="329">
        <v>4650</v>
      </c>
      <c r="AF77" s="329">
        <v>6470</v>
      </c>
      <c r="AG77" s="329">
        <v>4910</v>
      </c>
      <c r="AH77" s="329">
        <v>6880</v>
      </c>
      <c r="AI77" s="329">
        <v>5270</v>
      </c>
      <c r="AJ77" s="329">
        <v>7370</v>
      </c>
      <c r="AK77" s="329">
        <v>5620</v>
      </c>
      <c r="AL77" s="329">
        <v>7880</v>
      </c>
      <c r="AM77" s="146">
        <v>3500</v>
      </c>
      <c r="AN77" s="136">
        <f t="shared" ref="AN77:AN85" si="46">AM77/AC77-1</f>
        <v>-0.12935323383084574</v>
      </c>
      <c r="AO77" s="146">
        <v>4900</v>
      </c>
      <c r="AP77" s="156">
        <f t="shared" ref="AP77:AP85" si="47">AO77/AD77-1</f>
        <v>-0.12966252220248664</v>
      </c>
      <c r="AQ77" s="146">
        <v>4040</v>
      </c>
      <c r="AR77" s="146">
        <f t="shared" ref="AR77:AR85" si="48">AQ77/AE77-1</f>
        <v>-0.13118279569892477</v>
      </c>
      <c r="AS77" s="146">
        <v>5650</v>
      </c>
      <c r="AT77" s="146">
        <f t="shared" ref="AT77:AT85" si="49">AS77/AF77-1</f>
        <v>-0.12673879443585778</v>
      </c>
      <c r="AU77" s="146">
        <v>4270</v>
      </c>
      <c r="AV77" s="146">
        <f t="shared" ref="AV77:AV85" si="50">AU77/AG77-1</f>
        <v>-0.13034623217922603</v>
      </c>
      <c r="AW77" s="146">
        <v>5980</v>
      </c>
    </row>
    <row r="78" spans="1:49" x14ac:dyDescent="0.25">
      <c r="A78" s="8"/>
      <c r="B78" s="14" t="str">
        <f>IF($C$1="ENG","B+ (100 - 120 mm)","B+ (100 - 120 мм)")</f>
        <v>B+ (100 - 120 мм)</v>
      </c>
      <c r="C78" s="305"/>
      <c r="D78" s="15">
        <f t="shared" si="26"/>
        <v>3450</v>
      </c>
      <c r="E78" s="115">
        <f t="shared" si="27"/>
        <v>4140</v>
      </c>
      <c r="F78" s="118">
        <f t="shared" si="28"/>
        <v>4841.666666666667</v>
      </c>
      <c r="G78" s="45">
        <f t="shared" si="29"/>
        <v>5810</v>
      </c>
      <c r="H78" s="15">
        <f t="shared" si="30"/>
        <v>3975</v>
      </c>
      <c r="I78" s="115">
        <f t="shared" si="31"/>
        <v>4770</v>
      </c>
      <c r="J78" s="118">
        <f t="shared" si="32"/>
        <v>5566.666666666667</v>
      </c>
      <c r="K78" s="45">
        <f t="shared" si="33"/>
        <v>6680</v>
      </c>
      <c r="L78" s="15">
        <f t="shared" si="34"/>
        <v>4208.3333333333339</v>
      </c>
      <c r="M78" s="115">
        <f t="shared" si="35"/>
        <v>5050.0000000000009</v>
      </c>
      <c r="N78" s="118">
        <f t="shared" si="36"/>
        <v>5883.3333333333339</v>
      </c>
      <c r="O78" s="45">
        <f t="shared" si="37"/>
        <v>7060.0000000000009</v>
      </c>
      <c r="P78" s="15">
        <f t="shared" si="38"/>
        <v>4483.3333333333339</v>
      </c>
      <c r="Q78" s="115">
        <f t="shared" si="39"/>
        <v>5380.0000000000009</v>
      </c>
      <c r="R78" s="118">
        <f t="shared" si="40"/>
        <v>6266.666666666667</v>
      </c>
      <c r="S78" s="45">
        <f t="shared" si="41"/>
        <v>7520</v>
      </c>
      <c r="T78" s="15">
        <f t="shared" si="42"/>
        <v>4808.3333333333339</v>
      </c>
      <c r="U78" s="115">
        <f t="shared" si="43"/>
        <v>5770.0000000000009</v>
      </c>
      <c r="V78" s="118">
        <f t="shared" si="44"/>
        <v>6733.3333333333339</v>
      </c>
      <c r="W78" s="45">
        <f t="shared" si="45"/>
        <v>8080</v>
      </c>
      <c r="X78" s="18"/>
      <c r="Y78" s="18"/>
      <c r="Z78" s="18"/>
      <c r="AA78" s="18"/>
      <c r="AB78" s="18"/>
      <c r="AC78" s="329">
        <v>4140</v>
      </c>
      <c r="AD78" s="329">
        <v>5810</v>
      </c>
      <c r="AE78" s="329">
        <v>4770</v>
      </c>
      <c r="AF78" s="329">
        <v>6680</v>
      </c>
      <c r="AG78" s="329">
        <v>5050</v>
      </c>
      <c r="AH78" s="329">
        <v>7060</v>
      </c>
      <c r="AI78" s="329">
        <v>5380</v>
      </c>
      <c r="AJ78" s="329">
        <v>7520</v>
      </c>
      <c r="AK78" s="329">
        <v>5770</v>
      </c>
      <c r="AL78" s="329">
        <v>8080</v>
      </c>
      <c r="AM78" s="146">
        <v>3600</v>
      </c>
      <c r="AN78" s="136">
        <f t="shared" si="46"/>
        <v>-0.13043478260869568</v>
      </c>
      <c r="AO78" s="146">
        <v>5050</v>
      </c>
      <c r="AP78" s="156">
        <f t="shared" si="47"/>
        <v>-0.13080895008605853</v>
      </c>
      <c r="AQ78" s="146">
        <v>4150</v>
      </c>
      <c r="AR78" s="146">
        <f t="shared" si="48"/>
        <v>-0.12997903563941304</v>
      </c>
      <c r="AS78" s="146">
        <v>5810</v>
      </c>
      <c r="AT78" s="146">
        <f t="shared" si="49"/>
        <v>-0.13023952095808389</v>
      </c>
      <c r="AU78" s="146">
        <v>4390</v>
      </c>
      <c r="AV78" s="146">
        <f t="shared" si="50"/>
        <v>-0.1306930693069307</v>
      </c>
      <c r="AW78" s="146">
        <v>6140</v>
      </c>
    </row>
    <row r="79" spans="1:49" x14ac:dyDescent="0.25">
      <c r="A79" s="8"/>
      <c r="B79" s="14" t="str">
        <f>IF($C$1="ENG","C (120 - 140 mm)","C (120 - 140 мм)")</f>
        <v>C (120 - 140 мм)</v>
      </c>
      <c r="C79" s="305"/>
      <c r="D79" s="15">
        <f t="shared" si="26"/>
        <v>3533.3333333333335</v>
      </c>
      <c r="E79" s="115">
        <f t="shared" si="27"/>
        <v>4240</v>
      </c>
      <c r="F79" s="118">
        <f t="shared" si="28"/>
        <v>4933.3333333333339</v>
      </c>
      <c r="G79" s="45">
        <f t="shared" si="29"/>
        <v>5920.0000000000009</v>
      </c>
      <c r="H79" s="15">
        <f t="shared" si="30"/>
        <v>4066.666666666667</v>
      </c>
      <c r="I79" s="115">
        <f t="shared" si="31"/>
        <v>4880</v>
      </c>
      <c r="J79" s="118">
        <f t="shared" si="32"/>
        <v>5691.666666666667</v>
      </c>
      <c r="K79" s="45">
        <f t="shared" si="33"/>
        <v>6830</v>
      </c>
      <c r="L79" s="15">
        <f t="shared" si="34"/>
        <v>4300</v>
      </c>
      <c r="M79" s="115">
        <f t="shared" si="35"/>
        <v>5160</v>
      </c>
      <c r="N79" s="118">
        <f t="shared" si="36"/>
        <v>6025</v>
      </c>
      <c r="O79" s="45">
        <f t="shared" si="37"/>
        <v>7230</v>
      </c>
      <c r="P79" s="15">
        <f t="shared" si="38"/>
        <v>4600</v>
      </c>
      <c r="Q79" s="115">
        <f t="shared" si="39"/>
        <v>5520</v>
      </c>
      <c r="R79" s="118">
        <f t="shared" si="40"/>
        <v>6441.666666666667</v>
      </c>
      <c r="S79" s="45">
        <f t="shared" si="41"/>
        <v>7730</v>
      </c>
      <c r="T79" s="15">
        <f t="shared" si="42"/>
        <v>4933.3333333333339</v>
      </c>
      <c r="U79" s="115">
        <f t="shared" si="43"/>
        <v>5920.0000000000009</v>
      </c>
      <c r="V79" s="118">
        <f t="shared" si="44"/>
        <v>6908.3333333333339</v>
      </c>
      <c r="W79" s="45">
        <f t="shared" si="45"/>
        <v>8290</v>
      </c>
      <c r="X79" s="18"/>
      <c r="Y79" s="18"/>
      <c r="Z79" s="18"/>
      <c r="AA79" s="18"/>
      <c r="AB79" s="18"/>
      <c r="AC79" s="329">
        <v>4240</v>
      </c>
      <c r="AD79" s="329">
        <v>5920</v>
      </c>
      <c r="AE79" s="329">
        <v>4880</v>
      </c>
      <c r="AF79" s="329">
        <v>6830</v>
      </c>
      <c r="AG79" s="329">
        <v>5160</v>
      </c>
      <c r="AH79" s="329">
        <v>7230</v>
      </c>
      <c r="AI79" s="329">
        <v>5520</v>
      </c>
      <c r="AJ79" s="329">
        <v>7730</v>
      </c>
      <c r="AK79" s="329">
        <v>5920</v>
      </c>
      <c r="AL79" s="329">
        <v>8290</v>
      </c>
      <c r="AM79" s="146">
        <v>3690</v>
      </c>
      <c r="AN79" s="136">
        <f t="shared" si="46"/>
        <v>-0.12971698113207553</v>
      </c>
      <c r="AO79" s="146">
        <v>5150</v>
      </c>
      <c r="AP79" s="156">
        <f t="shared" si="47"/>
        <v>-0.13006756756756754</v>
      </c>
      <c r="AQ79" s="146">
        <v>4240</v>
      </c>
      <c r="AR79" s="146">
        <f t="shared" si="48"/>
        <v>-0.13114754098360659</v>
      </c>
      <c r="AS79" s="146">
        <v>5940</v>
      </c>
      <c r="AT79" s="146">
        <f t="shared" si="49"/>
        <v>-0.13030746705710106</v>
      </c>
      <c r="AU79" s="146">
        <v>4490</v>
      </c>
      <c r="AV79" s="146">
        <f t="shared" si="50"/>
        <v>-0.12984496124031009</v>
      </c>
      <c r="AW79" s="146">
        <v>6290</v>
      </c>
    </row>
    <row r="80" spans="1:49" x14ac:dyDescent="0.25">
      <c r="A80" s="8"/>
      <c r="B80" s="14" t="str">
        <f>IF($C$1="ENG","D (140 - 160 mm)","D (140 - 160 мм)")</f>
        <v>D (140 - 160 мм)</v>
      </c>
      <c r="C80" s="305"/>
      <c r="D80" s="15">
        <f t="shared" si="26"/>
        <v>3725</v>
      </c>
      <c r="E80" s="115">
        <f t="shared" si="27"/>
        <v>4470</v>
      </c>
      <c r="F80" s="118">
        <f t="shared" si="28"/>
        <v>5225</v>
      </c>
      <c r="G80" s="45">
        <f t="shared" si="29"/>
        <v>6270</v>
      </c>
      <c r="H80" s="15">
        <f t="shared" si="30"/>
        <v>4291.666666666667</v>
      </c>
      <c r="I80" s="115">
        <f t="shared" si="31"/>
        <v>5150</v>
      </c>
      <c r="J80" s="118">
        <f t="shared" si="32"/>
        <v>6000</v>
      </c>
      <c r="K80" s="45">
        <f t="shared" si="33"/>
        <v>7200</v>
      </c>
      <c r="L80" s="15">
        <f t="shared" si="34"/>
        <v>4491.666666666667</v>
      </c>
      <c r="M80" s="115">
        <f t="shared" si="35"/>
        <v>5390</v>
      </c>
      <c r="N80" s="118">
        <f t="shared" si="36"/>
        <v>6391.666666666667</v>
      </c>
      <c r="O80" s="45">
        <f t="shared" si="37"/>
        <v>7670</v>
      </c>
      <c r="P80" s="15">
        <f t="shared" si="38"/>
        <v>4808.3333333333339</v>
      </c>
      <c r="Q80" s="115">
        <f t="shared" si="39"/>
        <v>5770.0000000000009</v>
      </c>
      <c r="R80" s="118">
        <f t="shared" si="40"/>
        <v>6733.3333333333339</v>
      </c>
      <c r="S80" s="45">
        <f t="shared" si="41"/>
        <v>8080</v>
      </c>
      <c r="T80" s="15">
        <f t="shared" si="42"/>
        <v>5174.9999999999991</v>
      </c>
      <c r="U80" s="115">
        <f t="shared" si="43"/>
        <v>6209.9999999999991</v>
      </c>
      <c r="V80" s="118">
        <f t="shared" si="44"/>
        <v>7241.666666666667</v>
      </c>
      <c r="W80" s="45">
        <f t="shared" si="45"/>
        <v>8690</v>
      </c>
      <c r="X80" s="18"/>
      <c r="Y80" s="18"/>
      <c r="Z80" s="18"/>
      <c r="AA80" s="18"/>
      <c r="AB80" s="18"/>
      <c r="AC80" s="329">
        <v>4470</v>
      </c>
      <c r="AD80" s="329">
        <v>6270</v>
      </c>
      <c r="AE80" s="329">
        <v>5150</v>
      </c>
      <c r="AF80" s="329">
        <v>7200</v>
      </c>
      <c r="AG80" s="329">
        <v>5390</v>
      </c>
      <c r="AH80" s="329">
        <v>7670</v>
      </c>
      <c r="AI80" s="329">
        <v>5770</v>
      </c>
      <c r="AJ80" s="329">
        <v>8080</v>
      </c>
      <c r="AK80" s="329">
        <v>6209.9999999999991</v>
      </c>
      <c r="AL80" s="329">
        <v>8690</v>
      </c>
      <c r="AM80" s="146">
        <v>3890</v>
      </c>
      <c r="AN80" s="136">
        <f t="shared" si="46"/>
        <v>-0.12975391498881428</v>
      </c>
      <c r="AO80" s="146">
        <v>5450</v>
      </c>
      <c r="AP80" s="156">
        <f t="shared" si="47"/>
        <v>-0.13078149920255189</v>
      </c>
      <c r="AQ80" s="146">
        <v>4480</v>
      </c>
      <c r="AR80" s="146">
        <f t="shared" si="48"/>
        <v>-0.13009708737864079</v>
      </c>
      <c r="AS80" s="146">
        <v>6260</v>
      </c>
      <c r="AT80" s="146">
        <f t="shared" si="49"/>
        <v>-0.13055555555555554</v>
      </c>
      <c r="AU80" s="146">
        <v>4690</v>
      </c>
      <c r="AV80" s="146">
        <f t="shared" si="50"/>
        <v>-0.12987012987012991</v>
      </c>
      <c r="AW80" s="146">
        <v>6670</v>
      </c>
    </row>
    <row r="81" spans="1:49" x14ac:dyDescent="0.25">
      <c r="A81" s="8"/>
      <c r="B81" s="14" t="str">
        <f>IF($C$1="ENG","E (160 - 180 mm)","E (160 - 180 мм)")</f>
        <v>E (160 - 180 мм)</v>
      </c>
      <c r="C81" s="305"/>
      <c r="D81" s="15">
        <f t="shared" si="26"/>
        <v>3891.666666666667</v>
      </c>
      <c r="E81" s="115">
        <f t="shared" si="27"/>
        <v>4670</v>
      </c>
      <c r="F81" s="118">
        <f t="shared" si="28"/>
        <v>5433.3333333333339</v>
      </c>
      <c r="G81" s="45">
        <f t="shared" si="29"/>
        <v>6520.0000000000009</v>
      </c>
      <c r="H81" s="15">
        <f t="shared" si="30"/>
        <v>4475</v>
      </c>
      <c r="I81" s="115">
        <f t="shared" si="31"/>
        <v>5370</v>
      </c>
      <c r="J81" s="118">
        <f t="shared" si="32"/>
        <v>6258.3333333333339</v>
      </c>
      <c r="K81" s="45">
        <f t="shared" si="33"/>
        <v>7510</v>
      </c>
      <c r="L81" s="15">
        <f t="shared" si="34"/>
        <v>4700</v>
      </c>
      <c r="M81" s="115">
        <f t="shared" si="35"/>
        <v>5640</v>
      </c>
      <c r="N81" s="118">
        <f t="shared" si="36"/>
        <v>6583.3333333333339</v>
      </c>
      <c r="O81" s="45">
        <f t="shared" si="37"/>
        <v>7900</v>
      </c>
      <c r="P81" s="15">
        <f t="shared" si="38"/>
        <v>5025</v>
      </c>
      <c r="Q81" s="115">
        <f t="shared" si="39"/>
        <v>6030</v>
      </c>
      <c r="R81" s="118">
        <f t="shared" si="40"/>
        <v>7025</v>
      </c>
      <c r="S81" s="45">
        <f t="shared" si="41"/>
        <v>8430</v>
      </c>
      <c r="T81" s="15">
        <f t="shared" si="42"/>
        <v>5425</v>
      </c>
      <c r="U81" s="115">
        <f t="shared" si="43"/>
        <v>6510</v>
      </c>
      <c r="V81" s="118">
        <f t="shared" si="44"/>
        <v>7591.666666666667</v>
      </c>
      <c r="W81" s="45">
        <f t="shared" si="45"/>
        <v>9110</v>
      </c>
      <c r="X81" s="18"/>
      <c r="Y81" s="18"/>
      <c r="Z81" s="18"/>
      <c r="AA81" s="18"/>
      <c r="AB81" s="18"/>
      <c r="AC81" s="329">
        <v>4670</v>
      </c>
      <c r="AD81" s="329">
        <v>6520</v>
      </c>
      <c r="AE81" s="329">
        <v>5370</v>
      </c>
      <c r="AF81" s="329">
        <v>7510</v>
      </c>
      <c r="AG81" s="329">
        <v>5640</v>
      </c>
      <c r="AH81" s="329">
        <v>7900</v>
      </c>
      <c r="AI81" s="329">
        <v>6030</v>
      </c>
      <c r="AJ81" s="329">
        <v>8430</v>
      </c>
      <c r="AK81" s="329">
        <v>6510</v>
      </c>
      <c r="AL81" s="329">
        <v>9110</v>
      </c>
      <c r="AM81" s="146">
        <v>4060</v>
      </c>
      <c r="AN81" s="136">
        <f t="shared" si="46"/>
        <v>-0.13062098501070663</v>
      </c>
      <c r="AO81" s="146">
        <v>5670</v>
      </c>
      <c r="AP81" s="156">
        <f t="shared" si="47"/>
        <v>-0.13036809815950923</v>
      </c>
      <c r="AQ81" s="146">
        <v>4670</v>
      </c>
      <c r="AR81" s="146">
        <f t="shared" si="48"/>
        <v>-0.13035381750465547</v>
      </c>
      <c r="AS81" s="146">
        <v>6530</v>
      </c>
      <c r="AT81" s="146">
        <f t="shared" si="49"/>
        <v>-0.13049267643142481</v>
      </c>
      <c r="AU81" s="146">
        <v>4900</v>
      </c>
      <c r="AV81" s="146">
        <f t="shared" si="50"/>
        <v>-0.13120567375886527</v>
      </c>
      <c r="AW81" s="146">
        <v>6870</v>
      </c>
    </row>
    <row r="82" spans="1:49" x14ac:dyDescent="0.25">
      <c r="A82" s="8"/>
      <c r="B82" s="14" t="str">
        <f>IF($C$1="ENG","F (180 - 200 mm)","F (180 - 200 мм)")</f>
        <v>F (180 - 200 мм)</v>
      </c>
      <c r="C82" s="305"/>
      <c r="D82" s="15">
        <f t="shared" si="26"/>
        <v>4083.3333333333335</v>
      </c>
      <c r="E82" s="115">
        <f t="shared" si="27"/>
        <v>4900</v>
      </c>
      <c r="F82" s="118">
        <f t="shared" si="28"/>
        <v>5700</v>
      </c>
      <c r="G82" s="45">
        <f t="shared" si="29"/>
        <v>6840</v>
      </c>
      <c r="H82" s="15">
        <f t="shared" si="30"/>
        <v>4683.3333333333339</v>
      </c>
      <c r="I82" s="115">
        <f t="shared" si="31"/>
        <v>5620.0000000000009</v>
      </c>
      <c r="J82" s="118">
        <f t="shared" si="32"/>
        <v>6558.3333333333339</v>
      </c>
      <c r="K82" s="45">
        <f t="shared" si="33"/>
        <v>7870</v>
      </c>
      <c r="L82" s="15">
        <f t="shared" si="34"/>
        <v>4916.666666666667</v>
      </c>
      <c r="M82" s="115">
        <f t="shared" si="35"/>
        <v>5900</v>
      </c>
      <c r="N82" s="118">
        <f t="shared" si="36"/>
        <v>6891.666666666667</v>
      </c>
      <c r="O82" s="45">
        <f t="shared" si="37"/>
        <v>8270</v>
      </c>
      <c r="P82" s="15">
        <f t="shared" si="38"/>
        <v>5250</v>
      </c>
      <c r="Q82" s="115">
        <f t="shared" si="39"/>
        <v>6300</v>
      </c>
      <c r="R82" s="118">
        <f t="shared" si="40"/>
        <v>7350</v>
      </c>
      <c r="S82" s="45">
        <f t="shared" si="41"/>
        <v>8820</v>
      </c>
      <c r="T82" s="15">
        <f t="shared" si="42"/>
        <v>5666.666666666667</v>
      </c>
      <c r="U82" s="115">
        <f t="shared" si="43"/>
        <v>6800</v>
      </c>
      <c r="V82" s="118">
        <f t="shared" si="44"/>
        <v>7925</v>
      </c>
      <c r="W82" s="45">
        <f t="shared" si="45"/>
        <v>9510</v>
      </c>
      <c r="X82" s="18"/>
      <c r="Y82" s="18"/>
      <c r="Z82" s="18"/>
      <c r="AA82" s="18"/>
      <c r="AB82" s="18"/>
      <c r="AC82" s="329">
        <v>4900</v>
      </c>
      <c r="AD82" s="329">
        <v>6840</v>
      </c>
      <c r="AE82" s="329">
        <v>5620</v>
      </c>
      <c r="AF82" s="329">
        <v>7870</v>
      </c>
      <c r="AG82" s="329">
        <v>5900</v>
      </c>
      <c r="AH82" s="329">
        <v>8270</v>
      </c>
      <c r="AI82" s="329">
        <v>6300</v>
      </c>
      <c r="AJ82" s="329">
        <v>8820</v>
      </c>
      <c r="AK82" s="329">
        <v>6800</v>
      </c>
      <c r="AL82" s="329">
        <v>9510</v>
      </c>
      <c r="AM82" s="146">
        <v>4260</v>
      </c>
      <c r="AN82" s="136">
        <f t="shared" si="46"/>
        <v>-0.1306122448979592</v>
      </c>
      <c r="AO82" s="146">
        <v>5950</v>
      </c>
      <c r="AP82" s="156">
        <f t="shared" si="47"/>
        <v>-0.13011695906432752</v>
      </c>
      <c r="AQ82" s="146">
        <v>4890</v>
      </c>
      <c r="AR82" s="146">
        <f t="shared" si="48"/>
        <v>-0.12989323843416367</v>
      </c>
      <c r="AS82" s="146">
        <v>6840</v>
      </c>
      <c r="AT82" s="146">
        <f t="shared" si="49"/>
        <v>-0.13087674714104192</v>
      </c>
      <c r="AU82" s="146">
        <v>5130</v>
      </c>
      <c r="AV82" s="146">
        <f t="shared" si="50"/>
        <v>-0.13050847457627124</v>
      </c>
      <c r="AW82" s="146">
        <v>7190</v>
      </c>
    </row>
    <row r="83" spans="1:49" x14ac:dyDescent="0.25">
      <c r="A83" s="8"/>
      <c r="B83" s="14" t="str">
        <f>IF($C$1="ENG","G (200 - 220 mm)","G (200 - 220 мм)")</f>
        <v>G (200 - 220 мм)</v>
      </c>
      <c r="C83" s="305"/>
      <c r="D83" s="15">
        <f t="shared" si="26"/>
        <v>4241.666666666667</v>
      </c>
      <c r="E83" s="115">
        <f t="shared" si="27"/>
        <v>5090</v>
      </c>
      <c r="F83" s="118">
        <f t="shared" si="28"/>
        <v>5941.6666666666661</v>
      </c>
      <c r="G83" s="45">
        <f t="shared" si="29"/>
        <v>7129.9999999999991</v>
      </c>
      <c r="H83" s="15">
        <f t="shared" si="30"/>
        <v>4891.666666666667</v>
      </c>
      <c r="I83" s="115">
        <f t="shared" si="31"/>
        <v>5870</v>
      </c>
      <c r="J83" s="118">
        <f t="shared" si="32"/>
        <v>6833.3333333333339</v>
      </c>
      <c r="K83" s="45">
        <f t="shared" si="33"/>
        <v>8200</v>
      </c>
      <c r="L83" s="15">
        <f t="shared" si="34"/>
        <v>5116.666666666667</v>
      </c>
      <c r="M83" s="115">
        <f t="shared" si="35"/>
        <v>6140</v>
      </c>
      <c r="N83" s="118">
        <f t="shared" si="36"/>
        <v>7158.3333333333339</v>
      </c>
      <c r="O83" s="45">
        <f t="shared" si="37"/>
        <v>8590</v>
      </c>
      <c r="P83" s="15">
        <f t="shared" si="38"/>
        <v>5475</v>
      </c>
      <c r="Q83" s="115">
        <f t="shared" si="39"/>
        <v>6570</v>
      </c>
      <c r="R83" s="118">
        <f t="shared" si="40"/>
        <v>7658.3333333333339</v>
      </c>
      <c r="S83" s="45">
        <f t="shared" si="41"/>
        <v>9190</v>
      </c>
      <c r="T83" s="15">
        <f t="shared" si="42"/>
        <v>5916.666666666667</v>
      </c>
      <c r="U83" s="115">
        <f t="shared" si="43"/>
        <v>7100</v>
      </c>
      <c r="V83" s="118">
        <f t="shared" si="44"/>
        <v>8266.6666666666679</v>
      </c>
      <c r="W83" s="45">
        <f t="shared" si="45"/>
        <v>9920.0000000000018</v>
      </c>
      <c r="X83" s="18"/>
      <c r="Y83" s="18"/>
      <c r="Z83" s="18"/>
      <c r="AA83" s="18"/>
      <c r="AB83" s="18"/>
      <c r="AC83" s="329">
        <v>5090</v>
      </c>
      <c r="AD83" s="329">
        <v>7129.9999999999991</v>
      </c>
      <c r="AE83" s="329">
        <v>5870</v>
      </c>
      <c r="AF83" s="329">
        <v>8200</v>
      </c>
      <c r="AG83" s="329">
        <v>6140</v>
      </c>
      <c r="AH83" s="329">
        <v>8590</v>
      </c>
      <c r="AI83" s="329">
        <v>6570</v>
      </c>
      <c r="AJ83" s="329">
        <v>9190</v>
      </c>
      <c r="AK83" s="329">
        <v>7100</v>
      </c>
      <c r="AL83" s="329">
        <v>9920</v>
      </c>
      <c r="AM83" s="146">
        <v>4430</v>
      </c>
      <c r="AN83" s="136">
        <f t="shared" si="46"/>
        <v>-0.12966601178781922</v>
      </c>
      <c r="AO83" s="146">
        <v>6200</v>
      </c>
      <c r="AP83" s="156">
        <f t="shared" si="47"/>
        <v>-0.13043478260869557</v>
      </c>
      <c r="AQ83" s="146">
        <v>5100</v>
      </c>
      <c r="AR83" s="146">
        <f t="shared" si="48"/>
        <v>-0.131175468483816</v>
      </c>
      <c r="AS83" s="146">
        <v>7130</v>
      </c>
      <c r="AT83" s="146">
        <f t="shared" si="49"/>
        <v>-0.13048780487804879</v>
      </c>
      <c r="AU83" s="146">
        <v>5340</v>
      </c>
      <c r="AV83" s="146">
        <f t="shared" si="50"/>
        <v>-0.13029315960912047</v>
      </c>
      <c r="AW83" s="146">
        <v>7470</v>
      </c>
    </row>
    <row r="84" spans="1:49" x14ac:dyDescent="0.25">
      <c r="A84" s="8"/>
      <c r="B84" s="14" t="str">
        <f>IF($C$1="ENG","H (220 - 240 mm)","H (220 - 240 мм)")</f>
        <v>H (220 - 240 мм)</v>
      </c>
      <c r="C84" s="305"/>
      <c r="D84" s="15">
        <f t="shared" si="26"/>
        <v>4416.666666666667</v>
      </c>
      <c r="E84" s="115">
        <f t="shared" si="27"/>
        <v>5300</v>
      </c>
      <c r="F84" s="118">
        <f t="shared" si="28"/>
        <v>6183.3333333333339</v>
      </c>
      <c r="G84" s="45">
        <f t="shared" si="29"/>
        <v>7420</v>
      </c>
      <c r="H84" s="15">
        <f t="shared" si="30"/>
        <v>5075</v>
      </c>
      <c r="I84" s="115">
        <f t="shared" si="31"/>
        <v>6090</v>
      </c>
      <c r="J84" s="118">
        <f t="shared" si="32"/>
        <v>7125</v>
      </c>
      <c r="K84" s="45">
        <f t="shared" si="33"/>
        <v>8550</v>
      </c>
      <c r="L84" s="15">
        <f t="shared" si="34"/>
        <v>5316.666666666667</v>
      </c>
      <c r="M84" s="115">
        <f t="shared" si="35"/>
        <v>6380</v>
      </c>
      <c r="N84" s="118">
        <f t="shared" si="36"/>
        <v>7450</v>
      </c>
      <c r="O84" s="45">
        <f t="shared" si="37"/>
        <v>8940</v>
      </c>
      <c r="P84" s="15">
        <f t="shared" si="38"/>
        <v>5675</v>
      </c>
      <c r="Q84" s="115">
        <f t="shared" si="39"/>
        <v>6810</v>
      </c>
      <c r="R84" s="118">
        <f t="shared" si="40"/>
        <v>7941.666666666667</v>
      </c>
      <c r="S84" s="45">
        <f t="shared" si="41"/>
        <v>9530</v>
      </c>
      <c r="T84" s="15">
        <f t="shared" si="42"/>
        <v>6150</v>
      </c>
      <c r="U84" s="115">
        <f t="shared" si="43"/>
        <v>7380</v>
      </c>
      <c r="V84" s="118">
        <f t="shared" si="44"/>
        <v>8608.3333333333339</v>
      </c>
      <c r="W84" s="45">
        <f t="shared" si="45"/>
        <v>10330</v>
      </c>
      <c r="X84" s="18"/>
      <c r="Y84" s="18"/>
      <c r="Z84" s="18"/>
      <c r="AA84" s="18"/>
      <c r="AB84" s="18"/>
      <c r="AC84" s="329">
        <v>5300</v>
      </c>
      <c r="AD84" s="329">
        <v>7420</v>
      </c>
      <c r="AE84" s="329">
        <v>6090</v>
      </c>
      <c r="AF84" s="329">
        <v>8550</v>
      </c>
      <c r="AG84" s="329">
        <v>6380</v>
      </c>
      <c r="AH84" s="329">
        <v>8940</v>
      </c>
      <c r="AI84" s="329">
        <v>6810</v>
      </c>
      <c r="AJ84" s="329">
        <v>9530</v>
      </c>
      <c r="AK84" s="329">
        <v>7380</v>
      </c>
      <c r="AL84" s="329">
        <v>10330</v>
      </c>
      <c r="AM84" s="146">
        <v>4610</v>
      </c>
      <c r="AN84" s="136">
        <f t="shared" si="46"/>
        <v>-0.13018867924528299</v>
      </c>
      <c r="AO84" s="146">
        <v>6450</v>
      </c>
      <c r="AP84" s="156">
        <f t="shared" si="47"/>
        <v>-0.1307277628032345</v>
      </c>
      <c r="AQ84" s="146">
        <v>5300</v>
      </c>
      <c r="AR84" s="146">
        <f t="shared" si="48"/>
        <v>-0.12972085385878485</v>
      </c>
      <c r="AS84" s="146">
        <v>7430</v>
      </c>
      <c r="AT84" s="146">
        <f t="shared" si="49"/>
        <v>-0.13099415204678366</v>
      </c>
      <c r="AU84" s="146">
        <v>5550</v>
      </c>
      <c r="AV84" s="146">
        <f t="shared" si="50"/>
        <v>-0.13009404388714729</v>
      </c>
      <c r="AW84" s="146">
        <v>7770</v>
      </c>
    </row>
    <row r="85" spans="1:49" x14ac:dyDescent="0.25">
      <c r="A85" s="8"/>
      <c r="B85" s="19" t="str">
        <f>IF($C$1="ENG","I (240 - 260 mm)","I (240 - 260 мм)")</f>
        <v>I (240 - 260 мм)</v>
      </c>
      <c r="C85" s="306"/>
      <c r="D85" s="20">
        <f t="shared" si="26"/>
        <v>4600</v>
      </c>
      <c r="E85" s="116">
        <f t="shared" si="27"/>
        <v>5520</v>
      </c>
      <c r="F85" s="119">
        <f t="shared" si="28"/>
        <v>6450</v>
      </c>
      <c r="G85" s="47">
        <f t="shared" si="29"/>
        <v>7740</v>
      </c>
      <c r="H85" s="20">
        <f t="shared" si="30"/>
        <v>5300</v>
      </c>
      <c r="I85" s="116">
        <f t="shared" si="31"/>
        <v>6360</v>
      </c>
      <c r="J85" s="119">
        <f t="shared" si="32"/>
        <v>7416.666666666667</v>
      </c>
      <c r="K85" s="47">
        <f t="shared" si="33"/>
        <v>8900</v>
      </c>
      <c r="L85" s="20">
        <f t="shared" si="34"/>
        <v>5508.3333333333339</v>
      </c>
      <c r="M85" s="116">
        <f t="shared" si="35"/>
        <v>6610.0000000000009</v>
      </c>
      <c r="N85" s="119">
        <f t="shared" si="36"/>
        <v>7725</v>
      </c>
      <c r="O85" s="47">
        <f t="shared" si="37"/>
        <v>9270</v>
      </c>
      <c r="P85" s="20">
        <f t="shared" si="38"/>
        <v>5900</v>
      </c>
      <c r="Q85" s="116">
        <f t="shared" si="39"/>
        <v>7080</v>
      </c>
      <c r="R85" s="119">
        <f t="shared" si="40"/>
        <v>8258.3333333333339</v>
      </c>
      <c r="S85" s="47">
        <f t="shared" si="41"/>
        <v>9910</v>
      </c>
      <c r="T85" s="20">
        <f t="shared" si="42"/>
        <v>6400</v>
      </c>
      <c r="U85" s="116">
        <f t="shared" si="43"/>
        <v>7680</v>
      </c>
      <c r="V85" s="119">
        <f t="shared" si="44"/>
        <v>8958.3333333333339</v>
      </c>
      <c r="W85" s="47">
        <f t="shared" si="45"/>
        <v>10750</v>
      </c>
      <c r="X85" s="18"/>
      <c r="Y85" s="18"/>
      <c r="Z85" s="18"/>
      <c r="AA85" s="18"/>
      <c r="AB85" s="18"/>
      <c r="AC85" s="329">
        <v>5520</v>
      </c>
      <c r="AD85" s="329">
        <v>7740</v>
      </c>
      <c r="AE85" s="329">
        <v>6360</v>
      </c>
      <c r="AF85" s="329">
        <v>8900</v>
      </c>
      <c r="AG85" s="329">
        <v>6610</v>
      </c>
      <c r="AH85" s="329">
        <v>9270</v>
      </c>
      <c r="AI85" s="329">
        <v>7080</v>
      </c>
      <c r="AJ85" s="329">
        <v>9910</v>
      </c>
      <c r="AK85" s="329">
        <v>7680</v>
      </c>
      <c r="AL85" s="329">
        <v>10750</v>
      </c>
      <c r="AM85" s="146">
        <v>4800</v>
      </c>
      <c r="AN85" s="136">
        <f t="shared" si="46"/>
        <v>-0.13043478260869568</v>
      </c>
      <c r="AO85" s="146">
        <v>6730</v>
      </c>
      <c r="AP85" s="156">
        <f t="shared" si="47"/>
        <v>-0.13049095607235139</v>
      </c>
      <c r="AQ85" s="146">
        <v>5530</v>
      </c>
      <c r="AR85" s="146">
        <f t="shared" si="48"/>
        <v>-0.13050314465408808</v>
      </c>
      <c r="AS85" s="146">
        <v>7740</v>
      </c>
      <c r="AT85" s="146">
        <f t="shared" si="49"/>
        <v>-0.13033707865168542</v>
      </c>
      <c r="AU85" s="146">
        <v>5750</v>
      </c>
      <c r="AV85" s="146">
        <f t="shared" si="50"/>
        <v>-0.13010590015128598</v>
      </c>
      <c r="AW85" s="146">
        <v>8060</v>
      </c>
    </row>
    <row r="86" spans="1:49" x14ac:dyDescent="0.25">
      <c r="C86" s="110"/>
      <c r="D86" s="21"/>
      <c r="E86" s="38"/>
      <c r="F86" s="21"/>
      <c r="G86" s="38"/>
      <c r="H86" s="5"/>
      <c r="K86" s="17"/>
      <c r="L86" s="33"/>
      <c r="M86" s="75"/>
      <c r="N86" s="33"/>
      <c r="O86" s="33"/>
      <c r="P86" s="33"/>
      <c r="Q86" s="75"/>
      <c r="R86" s="33"/>
      <c r="S86" s="33"/>
      <c r="U86" s="17"/>
      <c r="W86" s="17"/>
      <c r="AO86" s="151"/>
      <c r="AP86" s="151"/>
      <c r="AQ86" s="151"/>
      <c r="AR86" s="151"/>
      <c r="AS86" s="151"/>
      <c r="AT86" s="151"/>
      <c r="AU86" s="151"/>
      <c r="AV86" s="151"/>
    </row>
    <row r="87" spans="1:49" ht="12.75" customHeight="1" x14ac:dyDescent="0.25">
      <c r="B87" s="211" t="str">
        <f>IF($C$1="ENG","For additonal charge:","Послуги за додаткову плату:")</f>
        <v>Послуги за додаткову плату:</v>
      </c>
      <c r="C87" s="212"/>
      <c r="D87" s="213"/>
      <c r="E87" s="214"/>
      <c r="F87" s="213"/>
      <c r="G87" s="213"/>
      <c r="H87" s="297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</row>
    <row r="88" spans="1:49" ht="5.0999999999999996" customHeight="1" x14ac:dyDescent="0.25">
      <c r="B88" s="22"/>
      <c r="C88" s="110"/>
      <c r="D88" s="21"/>
      <c r="E88" s="38"/>
      <c r="F88" s="21"/>
      <c r="G88" s="21"/>
      <c r="H88" s="10"/>
      <c r="I88" s="8"/>
      <c r="J88" s="8"/>
      <c r="K88" s="8"/>
      <c r="U88" s="17"/>
      <c r="W88" s="17"/>
    </row>
    <row r="89" spans="1:49" x14ac:dyDescent="0.25">
      <c r="B89" s="351" t="str">
        <f>IF($C$1="ENG","third door hindge","третя завіса")</f>
        <v>третя завіса</v>
      </c>
      <c r="C89" s="352"/>
      <c r="D89" s="34">
        <f>IF(AC89="","",(1-$W$2)*(AC89/1.2))</f>
        <v>75</v>
      </c>
      <c r="E89" s="61">
        <f>IF($W$5=0.2,D89*1.2,D89)/$W$4</f>
        <v>90</v>
      </c>
      <c r="F89" s="21"/>
      <c r="G89" s="21"/>
      <c r="H89" s="10"/>
      <c r="I89" s="60"/>
      <c r="J89" s="8"/>
      <c r="K89" s="60"/>
      <c r="U89" s="17"/>
      <c r="W89" s="17"/>
      <c r="AC89" s="130">
        <v>90</v>
      </c>
      <c r="AD89" s="129"/>
      <c r="AE89" s="129"/>
      <c r="AF89" s="129"/>
      <c r="AG89" s="129"/>
      <c r="AH89" s="129"/>
      <c r="AI89" s="129"/>
      <c r="AJ89" s="129"/>
      <c r="AK89" s="129"/>
      <c r="AL89" s="129"/>
    </row>
    <row r="90" spans="1:49" ht="14.25" customHeight="1" x14ac:dyDescent="0.25">
      <c r="T90" s="341"/>
      <c r="U90" s="341"/>
      <c r="V90" s="341"/>
      <c r="W90" s="341"/>
    </row>
    <row r="91" spans="1:49" ht="14.25" customHeight="1" x14ac:dyDescent="0.25">
      <c r="C91" s="110"/>
      <c r="D91" s="21"/>
      <c r="E91" s="21"/>
      <c r="F91" s="21"/>
      <c r="G91" s="21"/>
      <c r="H91" s="5"/>
    </row>
    <row r="92" spans="1:49" ht="14.25" customHeight="1" x14ac:dyDescent="0.25">
      <c r="C92" s="110"/>
      <c r="D92" s="21"/>
      <c r="E92" s="21"/>
      <c r="F92" s="21"/>
      <c r="G92" s="21"/>
      <c r="H92" s="5"/>
    </row>
    <row r="93" spans="1:49" s="8" customFormat="1" ht="24.9" customHeight="1" x14ac:dyDescent="0.25">
      <c r="B93" s="246" t="str">
        <f>TITLE!$C$44</f>
        <v>Дверна коробка Verto-FIT Comfort</v>
      </c>
      <c r="C93" s="244"/>
      <c r="D93" s="245"/>
      <c r="E93" s="217"/>
      <c r="F93" s="216"/>
      <c r="G93" s="299" t="str">
        <f>IF($C$1="ENG","For Door Leafs with Rebbit","Для Дверних Полотен без фальца")</f>
        <v>Для Дверних Полотен без фальца</v>
      </c>
      <c r="H93" s="216"/>
      <c r="I93" s="217"/>
      <c r="J93" s="217"/>
      <c r="K93" s="217"/>
      <c r="L93" s="217"/>
      <c r="M93" s="217"/>
      <c r="N93" s="217"/>
      <c r="O93" s="217"/>
      <c r="P93" s="217"/>
      <c r="Q93" s="217"/>
      <c r="R93" s="217"/>
      <c r="S93" s="217"/>
      <c r="T93" s="217"/>
      <c r="U93" s="217"/>
      <c r="V93" s="217"/>
      <c r="W93" s="217"/>
      <c r="X93" s="185"/>
      <c r="AN93" s="123"/>
      <c r="AO93" s="123"/>
      <c r="AP93" s="123"/>
      <c r="AQ93" s="123"/>
      <c r="AR93" s="123"/>
      <c r="AS93" s="123"/>
      <c r="AT93" s="123"/>
    </row>
    <row r="94" spans="1:49" s="8" customFormat="1" ht="5.0999999999999996" customHeight="1" x14ac:dyDescent="0.25">
      <c r="C94" s="163"/>
      <c r="T94" s="174"/>
      <c r="U94" s="174"/>
      <c r="V94" s="174"/>
      <c r="W94" s="174"/>
      <c r="AN94" s="123"/>
      <c r="AO94" s="123"/>
      <c r="AP94" s="123"/>
      <c r="AQ94" s="123"/>
      <c r="AR94" s="123"/>
      <c r="AS94" s="123"/>
      <c r="AT94" s="123"/>
    </row>
    <row r="95" spans="1:49" ht="12.75" customHeight="1" x14ac:dyDescent="0.25">
      <c r="A95" s="8"/>
      <c r="B95" s="133" t="str">
        <f>IF($C$1="ENG","model","модель")</f>
        <v>модель</v>
      </c>
      <c r="C95" s="85" t="str">
        <f>IF($C$1="ENG","cover:","покриття:")</f>
        <v>покриття:</v>
      </c>
      <c r="D95" s="344" t="str">
        <f>IF($C$1="ENG","SIMPLEX / VERTO-CELL","SIMPLEX / VERTO-CELL ")</f>
        <v xml:space="preserve">SIMPLEX / VERTO-CELL </v>
      </c>
      <c r="E95" s="353"/>
      <c r="F95" s="353"/>
      <c r="G95" s="345"/>
      <c r="H95" s="344" t="str">
        <f>IF($C$1="ENG","UNI-MAT","UNI-MAT")</f>
        <v>UNI-MAT</v>
      </c>
      <c r="I95" s="353"/>
      <c r="J95" s="353"/>
      <c r="K95" s="345"/>
      <c r="L95" s="344" t="str">
        <f>IF($C$1="ENG","RESIST","RESIST")</f>
        <v>RESIST</v>
      </c>
      <c r="M95" s="353"/>
      <c r="N95" s="353"/>
      <c r="O95" s="345"/>
      <c r="P95" s="344" t="str">
        <f>IF($C$1="ENG","Verto LINE-3D","Verto LINE-3D")</f>
        <v>Verto LINE-3D</v>
      </c>
      <c r="Q95" s="353"/>
      <c r="R95" s="353"/>
      <c r="S95" s="345"/>
      <c r="T95" s="344" t="str">
        <f>IF($C$1="ENG","Premium / LOFT","Premium/ LOFT")</f>
        <v>Premium/ LOFT</v>
      </c>
      <c r="U95" s="353"/>
      <c r="V95" s="353"/>
      <c r="W95" s="345"/>
      <c r="AO95" s="147">
        <v>0.15</v>
      </c>
    </row>
    <row r="96" spans="1:49" ht="12.75" customHeight="1" x14ac:dyDescent="0.25">
      <c r="A96" s="8"/>
      <c r="B96" s="134"/>
      <c r="C96" s="86" t="str">
        <f>IF($C$1="ENG","type:","виконання:")</f>
        <v>виконання:</v>
      </c>
      <c r="D96" s="342" t="str">
        <f>IF($C$1="ENG","single leaf","одностулкове")</f>
        <v>одностулкове</v>
      </c>
      <c r="E96" s="348"/>
      <c r="F96" s="279"/>
      <c r="G96" s="280"/>
      <c r="H96" s="342" t="str">
        <f>IF($C$1="ENG","single leaf","одностулкове")</f>
        <v>одностулкове</v>
      </c>
      <c r="I96" s="348"/>
      <c r="J96" s="279"/>
      <c r="K96" s="280"/>
      <c r="L96" s="342" t="str">
        <f>IF($C$1="ENG","single leaf","одностулкове")</f>
        <v>одностулкове</v>
      </c>
      <c r="M96" s="348"/>
      <c r="N96" s="349"/>
      <c r="O96" s="343"/>
      <c r="P96" s="342" t="str">
        <f>IF($C$1="ENG","single leaf","одностулкове")</f>
        <v>одностулкове</v>
      </c>
      <c r="Q96" s="348"/>
      <c r="R96" s="349"/>
      <c r="S96" s="343"/>
      <c r="T96" s="342" t="str">
        <f>IF($C$1="ENG","single leaf","одностулкове")</f>
        <v>одностулкове</v>
      </c>
      <c r="U96" s="348"/>
      <c r="V96" s="349"/>
      <c r="W96" s="343"/>
      <c r="AE96" s="1">
        <v>1.1499999999999999</v>
      </c>
    </row>
    <row r="97" spans="1:49" ht="12.75" customHeight="1" x14ac:dyDescent="0.25">
      <c r="A97" s="8"/>
      <c r="B97" s="12" t="str">
        <f>IF($C$1="ENG","A (75 - 95 mm)","A (75 - 95 мм)")</f>
        <v>A (75 - 95 мм)</v>
      </c>
      <c r="C97" s="304"/>
      <c r="D97" s="13">
        <f t="shared" ref="D97:D106" si="51">IF(AC97="","",(1-$W$2)*(AC97/1.2))</f>
        <v>3425</v>
      </c>
      <c r="E97" s="114">
        <f t="shared" ref="E97:E106" si="52">IF($W$5=0.2,D97*1.2,D97)/$W$4</f>
        <v>4110</v>
      </c>
      <c r="F97" s="117"/>
      <c r="G97" s="43"/>
      <c r="H97" s="13">
        <f t="shared" ref="H97:H106" si="53">IF(AE97="","",(1-$W$2)*(AE97/1.2))</f>
        <v>3933.3333333333335</v>
      </c>
      <c r="I97" s="114">
        <f t="shared" ref="I97:I106" si="54">IF($W$5=0.2,H97*1.2,H97)/$W$4</f>
        <v>4720</v>
      </c>
      <c r="J97" s="117"/>
      <c r="K97" s="43"/>
      <c r="L97" s="13">
        <f t="shared" ref="L97:L106" si="55">IF(AG97="","",(1-$W$2)*(AG97/1.2))</f>
        <v>4141.666666666667</v>
      </c>
      <c r="M97" s="114">
        <f t="shared" ref="M97:M106" si="56">IF($W$5=0.2,L97*1.2,L97)/$W$4</f>
        <v>4970</v>
      </c>
      <c r="N97" s="117"/>
      <c r="O97" s="43"/>
      <c r="P97" s="13">
        <f t="shared" ref="P97:P106" si="57">IF(AI97="","",(1-$W$2)*(AI97/1.2))</f>
        <v>4416.666666666667</v>
      </c>
      <c r="Q97" s="114">
        <f t="shared" ref="Q97:Q106" si="58">IF($W$5=0.2,P97*1.2,P97)/$W$4</f>
        <v>5300</v>
      </c>
      <c r="R97" s="117"/>
      <c r="S97" s="43"/>
      <c r="T97" s="13">
        <f t="shared" ref="T97:T106" si="59">IF(AK97="","",(1-$W$2)*(AK97/1.2))</f>
        <v>4725</v>
      </c>
      <c r="U97" s="114">
        <f t="shared" ref="U97:U106" si="60">IF($W$5=0.2,T97*1.2,T97)/$W$4</f>
        <v>5670</v>
      </c>
      <c r="V97" s="117"/>
      <c r="W97" s="43"/>
      <c r="X97" s="18"/>
      <c r="Y97" s="18"/>
      <c r="Z97" s="18"/>
      <c r="AA97" s="18"/>
      <c r="AB97" s="18"/>
      <c r="AC97" s="145">
        <v>4110</v>
      </c>
      <c r="AD97" s="145">
        <v>0</v>
      </c>
      <c r="AE97" s="145">
        <v>4720</v>
      </c>
      <c r="AF97" s="145">
        <v>0</v>
      </c>
      <c r="AG97" s="145">
        <v>4970</v>
      </c>
      <c r="AH97" s="145">
        <v>0</v>
      </c>
      <c r="AI97" s="145">
        <v>5300</v>
      </c>
      <c r="AJ97" s="145">
        <v>0</v>
      </c>
      <c r="AK97" s="145">
        <v>5670</v>
      </c>
      <c r="AL97" s="129"/>
      <c r="AM97" s="150">
        <v>3570</v>
      </c>
      <c r="AN97" s="136">
        <f>AM97/AC97-1</f>
        <v>-0.13138686131386856</v>
      </c>
      <c r="AO97" s="150">
        <f>AD97/100*13+AD97</f>
        <v>0</v>
      </c>
      <c r="AP97" s="25" t="e">
        <f>AO97/AD97-1</f>
        <v>#DIV/0!</v>
      </c>
      <c r="AQ97" s="150">
        <v>4101</v>
      </c>
      <c r="AR97" s="25">
        <f>AQ97/AE97-1</f>
        <v>-0.13114406779661014</v>
      </c>
      <c r="AS97" s="150">
        <f>AF97/100*13+AF97</f>
        <v>0</v>
      </c>
      <c r="AT97" s="25" t="e">
        <f>AS97/AF97-1</f>
        <v>#DIV/0!</v>
      </c>
      <c r="AU97" s="150">
        <v>4320</v>
      </c>
      <c r="AV97" s="1">
        <f>AU97/AG97-1</f>
        <v>-0.13078470824949695</v>
      </c>
      <c r="AW97" s="1">
        <f>AH97/100*13+AH97</f>
        <v>0</v>
      </c>
    </row>
    <row r="98" spans="1:49" x14ac:dyDescent="0.25">
      <c r="A98" s="8"/>
      <c r="B98" s="14" t="str">
        <f>IF($C$1="ENG","B (95 - 115 mm)","B (95 - 115 мм)")</f>
        <v>B (95 - 115 мм)</v>
      </c>
      <c r="C98" s="305"/>
      <c r="D98" s="15">
        <f t="shared" si="51"/>
        <v>3583.3333333333335</v>
      </c>
      <c r="E98" s="115">
        <f t="shared" si="52"/>
        <v>4300</v>
      </c>
      <c r="F98" s="118"/>
      <c r="G98" s="45"/>
      <c r="H98" s="15">
        <f t="shared" si="53"/>
        <v>4133.3333333333339</v>
      </c>
      <c r="I98" s="115">
        <f t="shared" si="54"/>
        <v>4960.0000000000009</v>
      </c>
      <c r="J98" s="118"/>
      <c r="K98" s="45"/>
      <c r="L98" s="15">
        <f t="shared" si="55"/>
        <v>4333.3333333333339</v>
      </c>
      <c r="M98" s="115">
        <f t="shared" si="56"/>
        <v>5200.0000000000009</v>
      </c>
      <c r="N98" s="118"/>
      <c r="O98" s="45"/>
      <c r="P98" s="15">
        <f t="shared" si="57"/>
        <v>4641.666666666667</v>
      </c>
      <c r="Q98" s="115">
        <f t="shared" si="58"/>
        <v>5570</v>
      </c>
      <c r="R98" s="118"/>
      <c r="S98" s="45"/>
      <c r="T98" s="15">
        <f t="shared" si="59"/>
        <v>4958.3333333333339</v>
      </c>
      <c r="U98" s="115">
        <f t="shared" si="60"/>
        <v>5950.0000000000009</v>
      </c>
      <c r="V98" s="118"/>
      <c r="W98" s="45"/>
      <c r="X98" s="18"/>
      <c r="Y98" s="18"/>
      <c r="Z98" s="18"/>
      <c r="AA98" s="18"/>
      <c r="AB98" s="18"/>
      <c r="AC98" s="145">
        <v>4300</v>
      </c>
      <c r="AD98" s="145">
        <v>0</v>
      </c>
      <c r="AE98" s="145">
        <v>4960</v>
      </c>
      <c r="AF98" s="145">
        <v>0</v>
      </c>
      <c r="AG98" s="145">
        <v>5200</v>
      </c>
      <c r="AH98" s="145">
        <v>0</v>
      </c>
      <c r="AI98" s="145">
        <v>5570</v>
      </c>
      <c r="AJ98" s="145">
        <v>0</v>
      </c>
      <c r="AK98" s="145">
        <v>5950</v>
      </c>
      <c r="AL98" s="129"/>
      <c r="AM98" s="150">
        <v>3740</v>
      </c>
      <c r="AN98" s="25">
        <f t="shared" ref="AN98:AN106" si="61">AM98/AC98-1</f>
        <v>-0.13023255813953494</v>
      </c>
      <c r="AO98" s="150">
        <f t="shared" ref="AO98:AO106" si="62">AD98/100*13+AD98</f>
        <v>0</v>
      </c>
      <c r="AP98" s="25" t="e">
        <f t="shared" ref="AP98:AP106" si="63">AO98/AD98-1</f>
        <v>#DIV/0!</v>
      </c>
      <c r="AQ98" s="150">
        <v>4310</v>
      </c>
      <c r="AR98" s="25">
        <f t="shared" ref="AR98:AR106" si="64">AQ98/AE98-1</f>
        <v>-0.13104838709677424</v>
      </c>
      <c r="AS98" s="150">
        <f t="shared" ref="AS98:AS106" si="65">AF98/100*13+AF98</f>
        <v>0</v>
      </c>
      <c r="AT98" s="25" t="e">
        <f t="shared" ref="AT98:AT106" si="66">AS98/AF98-1</f>
        <v>#DIV/0!</v>
      </c>
      <c r="AU98" s="150">
        <v>4520</v>
      </c>
      <c r="AV98" s="1">
        <f t="shared" ref="AV98:AV106" si="67">AU98/AG98-1</f>
        <v>-0.13076923076923075</v>
      </c>
      <c r="AW98" s="1">
        <f t="shared" ref="AW98:AW106" si="68">AH98/100*13+AH98</f>
        <v>0</v>
      </c>
    </row>
    <row r="99" spans="1:49" x14ac:dyDescent="0.25">
      <c r="A99" s="8"/>
      <c r="B99" s="14" t="str">
        <f>IF($C$1="ENG","B+ (115 - 135 mm)","B+ (115 - 135 мм)")</f>
        <v>B+ (115 - 135 мм)</v>
      </c>
      <c r="C99" s="305"/>
      <c r="D99" s="15">
        <f t="shared" si="51"/>
        <v>3658.3333333333335</v>
      </c>
      <c r="E99" s="115">
        <f t="shared" si="52"/>
        <v>4390</v>
      </c>
      <c r="F99" s="118"/>
      <c r="G99" s="45"/>
      <c r="H99" s="15">
        <f t="shared" si="53"/>
        <v>4216.666666666667</v>
      </c>
      <c r="I99" s="115">
        <f t="shared" si="54"/>
        <v>5060</v>
      </c>
      <c r="J99" s="118"/>
      <c r="K99" s="45"/>
      <c r="L99" s="15">
        <f t="shared" si="55"/>
        <v>4433.3333333333339</v>
      </c>
      <c r="M99" s="115">
        <f t="shared" si="56"/>
        <v>5320.0000000000009</v>
      </c>
      <c r="N99" s="118"/>
      <c r="O99" s="45"/>
      <c r="P99" s="15">
        <f t="shared" si="57"/>
        <v>4741.666666666667</v>
      </c>
      <c r="Q99" s="115">
        <f t="shared" si="58"/>
        <v>5690</v>
      </c>
      <c r="R99" s="118"/>
      <c r="S99" s="45"/>
      <c r="T99" s="15">
        <f t="shared" si="59"/>
        <v>5058.3333333333339</v>
      </c>
      <c r="U99" s="115">
        <f t="shared" si="60"/>
        <v>6070.0000000000009</v>
      </c>
      <c r="V99" s="118"/>
      <c r="W99" s="45"/>
      <c r="X99" s="18"/>
      <c r="Y99" s="18"/>
      <c r="Z99" s="18"/>
      <c r="AA99" s="18"/>
      <c r="AB99" s="18"/>
      <c r="AC99" s="145">
        <v>4390</v>
      </c>
      <c r="AD99" s="145">
        <v>0</v>
      </c>
      <c r="AE99" s="145">
        <v>5060</v>
      </c>
      <c r="AF99" s="145">
        <v>0</v>
      </c>
      <c r="AG99" s="145">
        <v>5320</v>
      </c>
      <c r="AH99" s="145">
        <v>0</v>
      </c>
      <c r="AI99" s="145">
        <v>5690</v>
      </c>
      <c r="AJ99" s="145">
        <v>0</v>
      </c>
      <c r="AK99" s="145">
        <v>6070</v>
      </c>
      <c r="AL99" s="129"/>
      <c r="AM99" s="150">
        <v>3820</v>
      </c>
      <c r="AN99" s="136">
        <f t="shared" si="61"/>
        <v>-0.12984054669703871</v>
      </c>
      <c r="AO99" s="150">
        <f t="shared" si="62"/>
        <v>0</v>
      </c>
      <c r="AP99" s="136" t="e">
        <f t="shared" si="63"/>
        <v>#DIV/0!</v>
      </c>
      <c r="AQ99" s="150">
        <v>4400</v>
      </c>
      <c r="AR99" s="25">
        <f t="shared" si="64"/>
        <v>-0.13043478260869568</v>
      </c>
      <c r="AS99" s="150">
        <f t="shared" si="65"/>
        <v>0</v>
      </c>
      <c r="AT99" s="25" t="e">
        <f t="shared" si="66"/>
        <v>#DIV/0!</v>
      </c>
      <c r="AU99" s="150">
        <v>4630</v>
      </c>
      <c r="AV99" s="1">
        <f t="shared" si="67"/>
        <v>-0.12969924812030076</v>
      </c>
      <c r="AW99" s="1">
        <f t="shared" si="68"/>
        <v>0</v>
      </c>
    </row>
    <row r="100" spans="1:49" x14ac:dyDescent="0.25">
      <c r="A100" s="8"/>
      <c r="B100" s="14" t="str">
        <f>IF($C$1="ENG","C (120 - 140 mm)","C (120 - 140 мм)")</f>
        <v>C (120 - 140 мм)</v>
      </c>
      <c r="C100" s="305"/>
      <c r="D100" s="15">
        <f t="shared" si="51"/>
        <v>3750</v>
      </c>
      <c r="E100" s="115">
        <f t="shared" si="52"/>
        <v>4500</v>
      </c>
      <c r="F100" s="118"/>
      <c r="G100" s="45"/>
      <c r="H100" s="15">
        <f t="shared" si="53"/>
        <v>4316.666666666667</v>
      </c>
      <c r="I100" s="115">
        <f t="shared" si="54"/>
        <v>5180</v>
      </c>
      <c r="J100" s="118"/>
      <c r="K100" s="45"/>
      <c r="L100" s="15">
        <f t="shared" si="55"/>
        <v>4516.666666666667</v>
      </c>
      <c r="M100" s="115">
        <f t="shared" si="56"/>
        <v>5420</v>
      </c>
      <c r="N100" s="118"/>
      <c r="O100" s="45"/>
      <c r="P100" s="15">
        <f t="shared" si="57"/>
        <v>4850</v>
      </c>
      <c r="Q100" s="115">
        <f t="shared" si="58"/>
        <v>5820</v>
      </c>
      <c r="R100" s="118"/>
      <c r="S100" s="45"/>
      <c r="T100" s="15">
        <f t="shared" si="59"/>
        <v>5174.9999999999991</v>
      </c>
      <c r="U100" s="115">
        <f t="shared" si="60"/>
        <v>6209.9999999999991</v>
      </c>
      <c r="V100" s="118"/>
      <c r="W100" s="45"/>
      <c r="X100" s="18"/>
      <c r="Y100" s="18"/>
      <c r="Z100" s="18"/>
      <c r="AA100" s="18"/>
      <c r="AB100" s="18"/>
      <c r="AC100" s="145">
        <v>4500</v>
      </c>
      <c r="AD100" s="145">
        <v>0</v>
      </c>
      <c r="AE100" s="145">
        <v>5180</v>
      </c>
      <c r="AF100" s="145">
        <v>0</v>
      </c>
      <c r="AG100" s="145">
        <v>5420</v>
      </c>
      <c r="AH100" s="145">
        <v>0</v>
      </c>
      <c r="AI100" s="145">
        <v>5820</v>
      </c>
      <c r="AJ100" s="145">
        <v>0</v>
      </c>
      <c r="AK100" s="145">
        <v>6209.9999999999991</v>
      </c>
      <c r="AL100" s="129"/>
      <c r="AM100" s="150">
        <v>3910</v>
      </c>
      <c r="AN100" s="136">
        <f t="shared" si="61"/>
        <v>-0.13111111111111107</v>
      </c>
      <c r="AO100" s="150">
        <f t="shared" si="62"/>
        <v>0</v>
      </c>
      <c r="AP100" s="25" t="e">
        <f t="shared" si="63"/>
        <v>#DIV/0!</v>
      </c>
      <c r="AQ100" s="150">
        <v>4400</v>
      </c>
      <c r="AR100" s="25">
        <f t="shared" si="64"/>
        <v>-0.15057915057915061</v>
      </c>
      <c r="AS100" s="150">
        <f t="shared" si="65"/>
        <v>0</v>
      </c>
      <c r="AT100" s="25" t="e">
        <f t="shared" si="66"/>
        <v>#DIV/0!</v>
      </c>
      <c r="AU100" s="150">
        <v>4710</v>
      </c>
      <c r="AV100" s="1">
        <f t="shared" si="67"/>
        <v>-0.13099630996309963</v>
      </c>
      <c r="AW100" s="1">
        <f t="shared" si="68"/>
        <v>0</v>
      </c>
    </row>
    <row r="101" spans="1:49" x14ac:dyDescent="0.25">
      <c r="A101" s="8"/>
      <c r="B101" s="14" t="str">
        <f>IF($C$1="ENG","D (140 - 160 mm)","D (140 - 160 мм)")</f>
        <v>D (140 - 160 мм)</v>
      </c>
      <c r="C101" s="305"/>
      <c r="D101" s="15">
        <f t="shared" si="51"/>
        <v>3908.3333333333335</v>
      </c>
      <c r="E101" s="115">
        <f t="shared" si="52"/>
        <v>4690</v>
      </c>
      <c r="F101" s="118"/>
      <c r="G101" s="45"/>
      <c r="H101" s="15">
        <f t="shared" si="53"/>
        <v>4491.666666666667</v>
      </c>
      <c r="I101" s="115">
        <f t="shared" si="54"/>
        <v>5390</v>
      </c>
      <c r="J101" s="118"/>
      <c r="K101" s="45"/>
      <c r="L101" s="15">
        <f t="shared" si="55"/>
        <v>4725</v>
      </c>
      <c r="M101" s="115">
        <f t="shared" si="56"/>
        <v>5670</v>
      </c>
      <c r="N101" s="118"/>
      <c r="O101" s="45"/>
      <c r="P101" s="15">
        <f t="shared" si="57"/>
        <v>5066.666666666667</v>
      </c>
      <c r="Q101" s="115">
        <f t="shared" si="58"/>
        <v>6080</v>
      </c>
      <c r="R101" s="118"/>
      <c r="S101" s="45"/>
      <c r="T101" s="15">
        <f t="shared" si="59"/>
        <v>5416.666666666667</v>
      </c>
      <c r="U101" s="115">
        <f t="shared" si="60"/>
        <v>6500</v>
      </c>
      <c r="V101" s="118"/>
      <c r="W101" s="45"/>
      <c r="X101" s="18"/>
      <c r="Y101" s="18"/>
      <c r="Z101" s="18"/>
      <c r="AA101" s="18"/>
      <c r="AB101" s="18"/>
      <c r="AC101" s="145">
        <v>4690</v>
      </c>
      <c r="AD101" s="145">
        <v>0</v>
      </c>
      <c r="AE101" s="145">
        <v>5390</v>
      </c>
      <c r="AF101" s="145">
        <v>0</v>
      </c>
      <c r="AG101" s="145">
        <v>5670</v>
      </c>
      <c r="AH101" s="145">
        <v>0</v>
      </c>
      <c r="AI101" s="145">
        <v>6080</v>
      </c>
      <c r="AJ101" s="145">
        <v>0</v>
      </c>
      <c r="AK101" s="145">
        <v>6500</v>
      </c>
      <c r="AL101" s="129"/>
      <c r="AM101" s="150">
        <v>4080</v>
      </c>
      <c r="AN101" s="136">
        <f t="shared" si="61"/>
        <v>-0.13006396588486135</v>
      </c>
      <c r="AO101" s="150">
        <f t="shared" si="62"/>
        <v>0</v>
      </c>
      <c r="AP101" s="25" t="e">
        <f t="shared" si="63"/>
        <v>#DIV/0!</v>
      </c>
      <c r="AQ101" s="150">
        <v>4690</v>
      </c>
      <c r="AR101" s="25">
        <f t="shared" si="64"/>
        <v>-0.12987012987012991</v>
      </c>
      <c r="AS101" s="150">
        <f t="shared" si="65"/>
        <v>0</v>
      </c>
      <c r="AT101" s="25" t="e">
        <f t="shared" si="66"/>
        <v>#DIV/0!</v>
      </c>
      <c r="AU101" s="150">
        <v>4930</v>
      </c>
      <c r="AV101" s="1">
        <f t="shared" si="67"/>
        <v>-0.13051146384479717</v>
      </c>
      <c r="AW101" s="1">
        <f t="shared" si="68"/>
        <v>0</v>
      </c>
    </row>
    <row r="102" spans="1:49" x14ac:dyDescent="0.25">
      <c r="A102" s="8"/>
      <c r="B102" s="14" t="str">
        <f>IF($C$1="ENG","E (160 - 180 mm)","E (160 - 180 мм)")</f>
        <v>E (160 - 180 мм)</v>
      </c>
      <c r="C102" s="305"/>
      <c r="D102" s="15">
        <f t="shared" si="51"/>
        <v>4075</v>
      </c>
      <c r="E102" s="115">
        <f t="shared" si="52"/>
        <v>4890</v>
      </c>
      <c r="F102" s="118"/>
      <c r="G102" s="45"/>
      <c r="H102" s="15">
        <f t="shared" si="53"/>
        <v>4675</v>
      </c>
      <c r="I102" s="115">
        <f t="shared" si="54"/>
        <v>5610</v>
      </c>
      <c r="J102" s="118"/>
      <c r="K102" s="45"/>
      <c r="L102" s="15">
        <f t="shared" si="55"/>
        <v>4925</v>
      </c>
      <c r="M102" s="115">
        <f t="shared" si="56"/>
        <v>5910</v>
      </c>
      <c r="N102" s="118"/>
      <c r="O102" s="45"/>
      <c r="P102" s="15">
        <f t="shared" si="57"/>
        <v>5291.666666666667</v>
      </c>
      <c r="Q102" s="115">
        <f t="shared" si="58"/>
        <v>6350</v>
      </c>
      <c r="R102" s="118"/>
      <c r="S102" s="45"/>
      <c r="T102" s="15">
        <f t="shared" si="59"/>
        <v>5641.666666666667</v>
      </c>
      <c r="U102" s="115">
        <f t="shared" si="60"/>
        <v>6770</v>
      </c>
      <c r="V102" s="118"/>
      <c r="W102" s="45"/>
      <c r="X102" s="18"/>
      <c r="Y102" s="18"/>
      <c r="Z102" s="18"/>
      <c r="AA102" s="18"/>
      <c r="AB102" s="18"/>
      <c r="AC102" s="145">
        <v>4890</v>
      </c>
      <c r="AD102" s="145">
        <v>0</v>
      </c>
      <c r="AE102" s="145">
        <v>5610</v>
      </c>
      <c r="AF102" s="145">
        <v>0</v>
      </c>
      <c r="AG102" s="145">
        <v>5910</v>
      </c>
      <c r="AH102" s="145">
        <v>0</v>
      </c>
      <c r="AI102" s="145">
        <v>6350</v>
      </c>
      <c r="AJ102" s="145">
        <v>0</v>
      </c>
      <c r="AK102" s="145">
        <v>6770</v>
      </c>
      <c r="AL102" s="129"/>
      <c r="AM102" s="150">
        <v>4250</v>
      </c>
      <c r="AN102" s="136">
        <f t="shared" si="61"/>
        <v>-0.13087934560327197</v>
      </c>
      <c r="AO102" s="150">
        <f t="shared" si="62"/>
        <v>0</v>
      </c>
      <c r="AP102" s="25" t="e">
        <f t="shared" si="63"/>
        <v>#DIV/0!</v>
      </c>
      <c r="AQ102" s="150">
        <v>4880</v>
      </c>
      <c r="AR102" s="25">
        <f t="shared" si="64"/>
        <v>-0.13012477718360071</v>
      </c>
      <c r="AS102" s="150">
        <f t="shared" si="65"/>
        <v>0</v>
      </c>
      <c r="AT102" s="25" t="e">
        <f t="shared" si="66"/>
        <v>#DIV/0!</v>
      </c>
      <c r="AU102" s="150">
        <v>5140</v>
      </c>
      <c r="AV102" s="1">
        <f t="shared" si="67"/>
        <v>-0.1302876480541455</v>
      </c>
      <c r="AW102" s="1">
        <f t="shared" si="68"/>
        <v>0</v>
      </c>
    </row>
    <row r="103" spans="1:49" x14ac:dyDescent="0.25">
      <c r="A103" s="8"/>
      <c r="B103" s="14" t="str">
        <f>IF($C$1="ENG","F (180 - 200 mm)","F (180 - 200 мм)")</f>
        <v>F (180 - 200 мм)</v>
      </c>
      <c r="C103" s="305"/>
      <c r="D103" s="15">
        <f t="shared" si="51"/>
        <v>4233.3333333333339</v>
      </c>
      <c r="E103" s="115">
        <f t="shared" si="52"/>
        <v>5080.0000000000009</v>
      </c>
      <c r="F103" s="118"/>
      <c r="G103" s="45"/>
      <c r="H103" s="15">
        <f t="shared" si="53"/>
        <v>4875</v>
      </c>
      <c r="I103" s="115">
        <f t="shared" si="54"/>
        <v>5850</v>
      </c>
      <c r="J103" s="118"/>
      <c r="K103" s="45"/>
      <c r="L103" s="15">
        <f t="shared" si="55"/>
        <v>5125</v>
      </c>
      <c r="M103" s="115">
        <f t="shared" si="56"/>
        <v>6150</v>
      </c>
      <c r="N103" s="118"/>
      <c r="O103" s="45"/>
      <c r="P103" s="15">
        <f t="shared" si="57"/>
        <v>5500</v>
      </c>
      <c r="Q103" s="115">
        <f t="shared" si="58"/>
        <v>6600</v>
      </c>
      <c r="R103" s="118"/>
      <c r="S103" s="45"/>
      <c r="T103" s="15">
        <f t="shared" si="59"/>
        <v>5883.3333333333339</v>
      </c>
      <c r="U103" s="115">
        <f t="shared" si="60"/>
        <v>7060.0000000000009</v>
      </c>
      <c r="V103" s="118"/>
      <c r="W103" s="45"/>
      <c r="X103" s="18"/>
      <c r="Y103" s="18"/>
      <c r="Z103" s="18"/>
      <c r="AA103" s="18"/>
      <c r="AB103" s="18"/>
      <c r="AC103" s="145">
        <v>5080</v>
      </c>
      <c r="AD103" s="145">
        <v>0</v>
      </c>
      <c r="AE103" s="145">
        <v>5850</v>
      </c>
      <c r="AF103" s="145">
        <v>0</v>
      </c>
      <c r="AG103" s="145">
        <v>6150</v>
      </c>
      <c r="AH103" s="145">
        <v>0</v>
      </c>
      <c r="AI103" s="145">
        <v>6600</v>
      </c>
      <c r="AJ103" s="145">
        <v>0</v>
      </c>
      <c r="AK103" s="145">
        <v>7060</v>
      </c>
      <c r="AL103" s="129"/>
      <c r="AM103" s="150">
        <v>4420</v>
      </c>
      <c r="AN103" s="136">
        <f t="shared" si="61"/>
        <v>-0.12992125984251968</v>
      </c>
      <c r="AO103" s="150">
        <f t="shared" si="62"/>
        <v>0</v>
      </c>
      <c r="AP103" s="25" t="e">
        <f t="shared" si="63"/>
        <v>#DIV/0!</v>
      </c>
      <c r="AQ103" s="150">
        <v>5090</v>
      </c>
      <c r="AR103" s="25">
        <f t="shared" si="64"/>
        <v>-0.1299145299145299</v>
      </c>
      <c r="AS103" s="150">
        <f t="shared" si="65"/>
        <v>0</v>
      </c>
      <c r="AT103" s="25" t="e">
        <f t="shared" si="66"/>
        <v>#DIV/0!</v>
      </c>
      <c r="AU103" s="150">
        <v>5350</v>
      </c>
      <c r="AV103" s="1">
        <f t="shared" si="67"/>
        <v>-0.13008130081300817</v>
      </c>
      <c r="AW103" s="1">
        <f t="shared" si="68"/>
        <v>0</v>
      </c>
    </row>
    <row r="104" spans="1:49" x14ac:dyDescent="0.25">
      <c r="A104" s="8"/>
      <c r="B104" s="14" t="str">
        <f>IF($C$1="ENG","G (200 - 220 mm)","G (200 - 220 мм)")</f>
        <v>G (200 - 220 мм)</v>
      </c>
      <c r="C104" s="305"/>
      <c r="D104" s="15">
        <f t="shared" si="51"/>
        <v>4400</v>
      </c>
      <c r="E104" s="115">
        <f t="shared" si="52"/>
        <v>5280</v>
      </c>
      <c r="F104" s="118"/>
      <c r="G104" s="45"/>
      <c r="H104" s="15">
        <f t="shared" si="53"/>
        <v>5058.3333333333339</v>
      </c>
      <c r="I104" s="115">
        <f t="shared" si="54"/>
        <v>6070.0000000000009</v>
      </c>
      <c r="J104" s="118"/>
      <c r="K104" s="45"/>
      <c r="L104" s="15">
        <f t="shared" si="55"/>
        <v>5325</v>
      </c>
      <c r="M104" s="115">
        <f t="shared" si="56"/>
        <v>6390</v>
      </c>
      <c r="N104" s="118"/>
      <c r="O104" s="45"/>
      <c r="P104" s="15">
        <f t="shared" si="57"/>
        <v>5725</v>
      </c>
      <c r="Q104" s="115">
        <f t="shared" si="58"/>
        <v>6870</v>
      </c>
      <c r="R104" s="118"/>
      <c r="S104" s="45"/>
      <c r="T104" s="15">
        <f t="shared" si="59"/>
        <v>6108.3333333333339</v>
      </c>
      <c r="U104" s="115">
        <f t="shared" si="60"/>
        <v>7330.0000000000009</v>
      </c>
      <c r="V104" s="118"/>
      <c r="W104" s="45"/>
      <c r="X104" s="18"/>
      <c r="Y104" s="18"/>
      <c r="Z104" s="18"/>
      <c r="AA104" s="18"/>
      <c r="AB104" s="18"/>
      <c r="AC104" s="145">
        <v>5280</v>
      </c>
      <c r="AD104" s="145">
        <v>0</v>
      </c>
      <c r="AE104" s="145">
        <v>6070</v>
      </c>
      <c r="AF104" s="145">
        <v>0</v>
      </c>
      <c r="AG104" s="145">
        <v>6390</v>
      </c>
      <c r="AH104" s="145">
        <v>0</v>
      </c>
      <c r="AI104" s="145">
        <v>6870</v>
      </c>
      <c r="AJ104" s="145">
        <v>0</v>
      </c>
      <c r="AK104" s="145">
        <v>7330</v>
      </c>
      <c r="AL104" s="129"/>
      <c r="AM104" s="150">
        <v>4590</v>
      </c>
      <c r="AN104" s="136">
        <f t="shared" si="61"/>
        <v>-0.13068181818181823</v>
      </c>
      <c r="AO104" s="150">
        <f t="shared" si="62"/>
        <v>0</v>
      </c>
      <c r="AP104" s="25" t="e">
        <f t="shared" si="63"/>
        <v>#DIV/0!</v>
      </c>
      <c r="AQ104" s="150">
        <v>5280</v>
      </c>
      <c r="AR104" s="25">
        <f t="shared" si="64"/>
        <v>-0.13014827018121911</v>
      </c>
      <c r="AS104" s="150">
        <f t="shared" si="65"/>
        <v>0</v>
      </c>
      <c r="AT104" s="25" t="e">
        <f t="shared" si="66"/>
        <v>#DIV/0!</v>
      </c>
      <c r="AU104" s="150">
        <v>5560</v>
      </c>
      <c r="AV104" s="1">
        <f t="shared" si="67"/>
        <v>-0.12989045383411579</v>
      </c>
      <c r="AW104" s="1">
        <f t="shared" si="68"/>
        <v>0</v>
      </c>
    </row>
    <row r="105" spans="1:49" x14ac:dyDescent="0.25">
      <c r="A105" s="8"/>
      <c r="B105" s="14" t="str">
        <f>IF($C$1="ENG","H (220 - 240 mm)","H (220 - 240 мм)")</f>
        <v>H (220 - 240 мм)</v>
      </c>
      <c r="C105" s="305"/>
      <c r="D105" s="15">
        <f t="shared" si="51"/>
        <v>4558.3333333333339</v>
      </c>
      <c r="E105" s="115">
        <f t="shared" si="52"/>
        <v>5470.0000000000009</v>
      </c>
      <c r="F105" s="118"/>
      <c r="G105" s="45"/>
      <c r="H105" s="15">
        <f t="shared" si="53"/>
        <v>5241.666666666667</v>
      </c>
      <c r="I105" s="115">
        <f t="shared" si="54"/>
        <v>6290</v>
      </c>
      <c r="J105" s="118"/>
      <c r="K105" s="45"/>
      <c r="L105" s="15">
        <f t="shared" si="55"/>
        <v>5516.666666666667</v>
      </c>
      <c r="M105" s="115">
        <f t="shared" si="56"/>
        <v>6620</v>
      </c>
      <c r="N105" s="118"/>
      <c r="O105" s="45"/>
      <c r="P105" s="15">
        <f t="shared" si="57"/>
        <v>5933.3333333333339</v>
      </c>
      <c r="Q105" s="115">
        <f t="shared" si="58"/>
        <v>7120.0000000000009</v>
      </c>
      <c r="R105" s="118"/>
      <c r="S105" s="45"/>
      <c r="T105" s="15">
        <f t="shared" si="59"/>
        <v>6324.9999999999991</v>
      </c>
      <c r="U105" s="115">
        <f t="shared" si="60"/>
        <v>7589.9999999999982</v>
      </c>
      <c r="V105" s="118"/>
      <c r="W105" s="45"/>
      <c r="X105" s="18"/>
      <c r="Y105" s="18"/>
      <c r="Z105" s="18"/>
      <c r="AA105" s="18"/>
      <c r="AB105" s="18"/>
      <c r="AC105" s="145">
        <v>5470</v>
      </c>
      <c r="AD105" s="145">
        <v>0</v>
      </c>
      <c r="AE105" s="145">
        <v>6290</v>
      </c>
      <c r="AF105" s="145">
        <v>0</v>
      </c>
      <c r="AG105" s="145">
        <v>6620</v>
      </c>
      <c r="AH105" s="145">
        <v>0</v>
      </c>
      <c r="AI105" s="145">
        <v>7120</v>
      </c>
      <c r="AJ105" s="145">
        <v>0</v>
      </c>
      <c r="AK105" s="145">
        <v>7589.9999999999991</v>
      </c>
      <c r="AL105" s="129"/>
      <c r="AM105" s="150">
        <v>4760</v>
      </c>
      <c r="AN105" s="136">
        <f t="shared" si="61"/>
        <v>-0.12979890310786102</v>
      </c>
      <c r="AO105" s="150">
        <f t="shared" si="62"/>
        <v>0</v>
      </c>
      <c r="AP105" s="25" t="e">
        <f t="shared" si="63"/>
        <v>#DIV/0!</v>
      </c>
      <c r="AQ105" s="150">
        <v>5470</v>
      </c>
      <c r="AR105" s="25">
        <f t="shared" si="64"/>
        <v>-0.13036565977742454</v>
      </c>
      <c r="AS105" s="150">
        <f t="shared" si="65"/>
        <v>0</v>
      </c>
      <c r="AT105" s="25" t="e">
        <f t="shared" si="66"/>
        <v>#DIV/0!</v>
      </c>
      <c r="AU105" s="150">
        <v>5760</v>
      </c>
      <c r="AV105" s="1">
        <f t="shared" si="67"/>
        <v>-0.12990936555891242</v>
      </c>
      <c r="AW105" s="1">
        <f t="shared" si="68"/>
        <v>0</v>
      </c>
    </row>
    <row r="106" spans="1:49" x14ac:dyDescent="0.25">
      <c r="A106" s="8"/>
      <c r="B106" s="19" t="str">
        <f>IF($C$1="ENG","I (240 - 260 mm)","I (240 - 260 мм)")</f>
        <v>I (240 - 260 мм)</v>
      </c>
      <c r="C106" s="306"/>
      <c r="D106" s="20">
        <f t="shared" si="51"/>
        <v>4725</v>
      </c>
      <c r="E106" s="116">
        <f t="shared" si="52"/>
        <v>5670</v>
      </c>
      <c r="F106" s="119"/>
      <c r="G106" s="47"/>
      <c r="H106" s="20">
        <f t="shared" si="53"/>
        <v>5425</v>
      </c>
      <c r="I106" s="116">
        <f t="shared" si="54"/>
        <v>6510</v>
      </c>
      <c r="J106" s="119"/>
      <c r="K106" s="47"/>
      <c r="L106" s="20">
        <f t="shared" si="55"/>
        <v>5741.666666666667</v>
      </c>
      <c r="M106" s="116">
        <f t="shared" si="56"/>
        <v>6890</v>
      </c>
      <c r="N106" s="119"/>
      <c r="O106" s="47"/>
      <c r="P106" s="20">
        <f t="shared" si="57"/>
        <v>6150</v>
      </c>
      <c r="Q106" s="116">
        <f t="shared" si="58"/>
        <v>7380</v>
      </c>
      <c r="R106" s="119"/>
      <c r="S106" s="47"/>
      <c r="T106" s="20">
        <f t="shared" si="59"/>
        <v>6566.666666666667</v>
      </c>
      <c r="U106" s="116">
        <f t="shared" si="60"/>
        <v>7880</v>
      </c>
      <c r="V106" s="119"/>
      <c r="W106" s="47"/>
      <c r="X106" s="18"/>
      <c r="Y106" s="18"/>
      <c r="Z106" s="18"/>
      <c r="AA106" s="18"/>
      <c r="AB106" s="18"/>
      <c r="AC106" s="145">
        <v>5670</v>
      </c>
      <c r="AD106" s="145">
        <v>0</v>
      </c>
      <c r="AE106" s="145">
        <v>6510</v>
      </c>
      <c r="AF106" s="145">
        <v>0</v>
      </c>
      <c r="AG106" s="145">
        <v>6890</v>
      </c>
      <c r="AH106" s="145">
        <v>0</v>
      </c>
      <c r="AI106" s="145">
        <v>7380</v>
      </c>
      <c r="AJ106" s="145">
        <v>0</v>
      </c>
      <c r="AK106" s="145">
        <v>7880</v>
      </c>
      <c r="AL106" s="176"/>
      <c r="AM106" s="150">
        <v>4930</v>
      </c>
      <c r="AN106" s="136">
        <f t="shared" si="61"/>
        <v>-0.13051146384479717</v>
      </c>
      <c r="AO106" s="150">
        <f t="shared" si="62"/>
        <v>0</v>
      </c>
      <c r="AP106" s="25" t="e">
        <f t="shared" si="63"/>
        <v>#DIV/0!</v>
      </c>
      <c r="AQ106" s="150">
        <v>5660</v>
      </c>
      <c r="AR106" s="25">
        <f t="shared" si="64"/>
        <v>-0.13056835637480801</v>
      </c>
      <c r="AS106" s="150">
        <f t="shared" si="65"/>
        <v>0</v>
      </c>
      <c r="AT106" s="25" t="e">
        <f t="shared" si="66"/>
        <v>#DIV/0!</v>
      </c>
      <c r="AU106" s="150">
        <v>5990</v>
      </c>
      <c r="AV106" s="1">
        <f t="shared" si="67"/>
        <v>-0.13062409288824384</v>
      </c>
      <c r="AW106" s="1">
        <f t="shared" si="68"/>
        <v>0</v>
      </c>
    </row>
    <row r="107" spans="1:49" s="33" customFormat="1" ht="24.9" customHeight="1" x14ac:dyDescent="0.25">
      <c r="B107" s="36" t="str">
        <f>IF($C$1="ENG","ADJUSTABLE PANELS","ПЛАНКИ РЕГУЛЮВАЛЬНІ")</f>
        <v>ПЛАНКИ РЕГУЛЮВАЛЬНІ</v>
      </c>
      <c r="C107" s="164"/>
      <c r="D107" s="23"/>
      <c r="E107" s="354" t="str">
        <f>IF($C$1="ENG","For Door Frames Verto-FIT Comfort","Для Дверних Коробок Verto-FIT  Comfort")</f>
        <v>Для Дверних Коробок Verto-FIT  Comfort</v>
      </c>
      <c r="F107" s="354"/>
      <c r="G107" s="354"/>
      <c r="H107" s="354"/>
      <c r="I107" s="354"/>
      <c r="J107" s="354"/>
      <c r="K107" s="354"/>
      <c r="L107" s="23"/>
      <c r="M107" s="75"/>
      <c r="N107" s="23"/>
      <c r="O107" s="24"/>
      <c r="P107" s="23"/>
      <c r="Q107" s="75"/>
      <c r="R107" s="23"/>
      <c r="S107" s="24"/>
      <c r="T107" s="95"/>
      <c r="U107" s="97"/>
      <c r="V107" s="95"/>
      <c r="W107" s="96"/>
      <c r="AC107" s="145">
        <v>0</v>
      </c>
      <c r="AD107" s="145">
        <v>0</v>
      </c>
      <c r="AE107" s="145">
        <v>0</v>
      </c>
      <c r="AF107" s="145">
        <v>0</v>
      </c>
      <c r="AG107" s="145">
        <v>0</v>
      </c>
      <c r="AH107" s="145">
        <v>0</v>
      </c>
      <c r="AI107" s="145">
        <v>0</v>
      </c>
      <c r="AJ107" s="145">
        <v>0</v>
      </c>
      <c r="AK107" s="145">
        <v>0</v>
      </c>
      <c r="AN107" s="37"/>
      <c r="AO107" s="37"/>
      <c r="AP107" s="37"/>
      <c r="AQ107" s="37"/>
      <c r="AR107" s="37"/>
      <c r="AS107" s="37"/>
      <c r="AT107" s="37"/>
    </row>
    <row r="108" spans="1:49" ht="34.5" customHeight="1" x14ac:dyDescent="0.25">
      <c r="A108" s="8"/>
      <c r="B108" s="109" t="str">
        <f>IF($C$1="ENG","Panel (1 set) 80 mm","Планка (1 к-т) 80 мм")</f>
        <v>Планка (1 к-т) 80 мм</v>
      </c>
      <c r="C108" s="169"/>
      <c r="D108" s="13">
        <f>IF(AC108="","",(1-$W$2)*(AC108/1.2))</f>
        <v>1141.6666666666667</v>
      </c>
      <c r="E108" s="131">
        <f>IF($W$5=0.2,D108*1.2,D108)/$W$4</f>
        <v>1370</v>
      </c>
      <c r="F108" s="117"/>
      <c r="G108" s="43"/>
      <c r="H108" s="13">
        <f>IF(AE108="","",(1-$W$2)*(AE108/1.2))</f>
        <v>1258.3333333333335</v>
      </c>
      <c r="I108" s="114">
        <f>IF($W$5=0.2,H108*1.2,H108)/$W$4</f>
        <v>1510.0000000000002</v>
      </c>
      <c r="J108" s="117"/>
      <c r="K108" s="43"/>
      <c r="L108" s="13">
        <f>IF(AG108="","",(1-$W$2)*(AG108/1.2))</f>
        <v>1333.3333333333335</v>
      </c>
      <c r="M108" s="114">
        <f>IF($W$5=0.2,L108*1.2,L108)/$W$4</f>
        <v>1600.0000000000002</v>
      </c>
      <c r="N108" s="117"/>
      <c r="O108" s="43"/>
      <c r="P108" s="13">
        <f>IF(AI108="","",(1-$W$2)*(AI108/1.2))</f>
        <v>1408.3333333333335</v>
      </c>
      <c r="Q108" s="114">
        <f>IF($W$5=0.2,P108*1.2,P108)/$W$4</f>
        <v>1690.0000000000002</v>
      </c>
      <c r="R108" s="117"/>
      <c r="S108" s="43"/>
      <c r="T108" s="13">
        <f>IF(AK108="","",(1-$W$2)*(AK108/1.2))</f>
        <v>1483.3333333333335</v>
      </c>
      <c r="U108" s="114">
        <f>IF($W$5=0.2,T108*1.2,T108)/$W$4</f>
        <v>1780.0000000000002</v>
      </c>
      <c r="V108" s="117"/>
      <c r="W108" s="43"/>
      <c r="AC108" s="145">
        <v>1370</v>
      </c>
      <c r="AD108" s="145">
        <v>0</v>
      </c>
      <c r="AE108" s="145">
        <v>1510</v>
      </c>
      <c r="AF108" s="145">
        <v>0</v>
      </c>
      <c r="AG108" s="145">
        <v>1600</v>
      </c>
      <c r="AH108" s="145">
        <v>0</v>
      </c>
      <c r="AI108" s="145">
        <v>1690</v>
      </c>
      <c r="AJ108" s="145">
        <v>0</v>
      </c>
      <c r="AK108" s="145">
        <v>1780</v>
      </c>
      <c r="AL108" s="129"/>
      <c r="AM108" s="150">
        <v>1190</v>
      </c>
      <c r="AN108" s="136">
        <f>AM108/AC108-1</f>
        <v>-0.13138686131386856</v>
      </c>
      <c r="AO108" s="150">
        <f>AD108/100*13+AD108</f>
        <v>0</v>
      </c>
      <c r="AP108" s="25" t="e">
        <f>AO108/AD108-1</f>
        <v>#DIV/0!</v>
      </c>
      <c r="AQ108" s="150">
        <v>1310</v>
      </c>
      <c r="AR108" s="25">
        <f>AQ108/AE108-1</f>
        <v>-0.13245033112582782</v>
      </c>
      <c r="AS108" s="150">
        <f>AF108/100*13+AF108</f>
        <v>0</v>
      </c>
      <c r="AT108" s="25" t="e">
        <f>AS108/AF108-1</f>
        <v>#DIV/0!</v>
      </c>
      <c r="AU108" s="150">
        <v>1390</v>
      </c>
      <c r="AV108" s="1">
        <f>AU108/AG108-1</f>
        <v>-0.13124999999999998</v>
      </c>
      <c r="AW108" s="1">
        <f>AH108/100*13+AH108</f>
        <v>0</v>
      </c>
    </row>
    <row r="109" spans="1:49" ht="34.5" customHeight="1" x14ac:dyDescent="0.25">
      <c r="A109" s="8"/>
      <c r="B109" s="137" t="str">
        <f>IF($C$1="ENG","Panel (1 set) 160 mm","Планка (1 к-т) 160 мм")</f>
        <v>Планка (1 к-т) 160 мм</v>
      </c>
      <c r="C109" s="167"/>
      <c r="D109" s="15">
        <f>IF(AC109="","",(1-$W$2)*(AC109/1.2))</f>
        <v>1900</v>
      </c>
      <c r="E109" s="115">
        <f>IF($W$5=0.2,D109*1.2,D109)/$W$4</f>
        <v>2280</v>
      </c>
      <c r="F109" s="118"/>
      <c r="G109" s="45"/>
      <c r="H109" s="15">
        <f>IF(AE109="","",(1-$W$2)*(AE109/1.2))</f>
        <v>2158.3333333333335</v>
      </c>
      <c r="I109" s="115">
        <f>IF($W$5=0.2,H109*1.2,H109)/$W$4</f>
        <v>2590</v>
      </c>
      <c r="J109" s="118"/>
      <c r="K109" s="45"/>
      <c r="L109" s="15">
        <f>IF(AG109="","",(1-$W$2)*(AG109/1.2))</f>
        <v>2291.666666666667</v>
      </c>
      <c r="M109" s="115">
        <f>IF($W$5=0.2,L109*1.2,L109)/$W$4</f>
        <v>2750.0000000000005</v>
      </c>
      <c r="N109" s="118"/>
      <c r="O109" s="45"/>
      <c r="P109" s="15">
        <f>IF(AI109="","",(1-$W$2)*(AI109/1.2))</f>
        <v>2433.3333333333335</v>
      </c>
      <c r="Q109" s="115">
        <f>IF($W$5=0.2,P109*1.2,P109)/$W$4</f>
        <v>2920</v>
      </c>
      <c r="R109" s="118"/>
      <c r="S109" s="45"/>
      <c r="T109" s="15">
        <f>IF(AK109="","",(1-$W$2)*(AK109/1.2))</f>
        <v>2575</v>
      </c>
      <c r="U109" s="115">
        <f>IF($W$5=0.2,T109*1.2,T109)/$W$4</f>
        <v>3090</v>
      </c>
      <c r="V109" s="118"/>
      <c r="W109" s="45"/>
      <c r="AC109" s="145">
        <v>2280</v>
      </c>
      <c r="AD109" s="145">
        <v>0</v>
      </c>
      <c r="AE109" s="145">
        <v>2590</v>
      </c>
      <c r="AF109" s="145">
        <v>0</v>
      </c>
      <c r="AG109" s="145">
        <v>2750</v>
      </c>
      <c r="AH109" s="145">
        <v>0</v>
      </c>
      <c r="AI109" s="145">
        <v>2920</v>
      </c>
      <c r="AJ109" s="145">
        <v>0</v>
      </c>
      <c r="AK109" s="145">
        <v>3090</v>
      </c>
      <c r="AL109" s="129"/>
      <c r="AM109" s="150">
        <v>1980</v>
      </c>
      <c r="AN109" s="136">
        <f>AM109/AC109-1</f>
        <v>-0.13157894736842102</v>
      </c>
      <c r="AO109" s="150">
        <f>AD109/100*13+AD109</f>
        <v>0</v>
      </c>
      <c r="AP109" s="25" t="e">
        <f>AO109/AD109-1</f>
        <v>#DIV/0!</v>
      </c>
      <c r="AQ109" s="150">
        <v>2250</v>
      </c>
      <c r="AR109" s="25">
        <f>AQ109/AE109-1</f>
        <v>-0.13127413127413123</v>
      </c>
      <c r="AS109" s="150">
        <f>AF109/100*13+AF109</f>
        <v>0</v>
      </c>
      <c r="AT109" s="25" t="e">
        <f>AS109/AF109-1</f>
        <v>#DIV/0!</v>
      </c>
      <c r="AU109" s="150">
        <v>2390</v>
      </c>
      <c r="AV109" s="1">
        <f>AU109/AG109-1</f>
        <v>-0.13090909090909086</v>
      </c>
      <c r="AW109" s="1">
        <f>AH109/100*13+AH109</f>
        <v>0</v>
      </c>
    </row>
    <row r="110" spans="1:49" ht="34.5" customHeight="1" x14ac:dyDescent="0.25">
      <c r="A110" s="8"/>
      <c r="B110" s="76" t="str">
        <f>IF($C$1="ENG","Panel (1 set) 200 mm","Планка (1 к-т) 200 мм")</f>
        <v>Планка (1 к-т) 200 мм</v>
      </c>
      <c r="C110" s="168"/>
      <c r="D110" s="20">
        <f>IF(AC110="","",(1-$W$2)*(AC110/1.2))</f>
        <v>2258.3333333333335</v>
      </c>
      <c r="E110" s="116">
        <f>IF($W$5=0.2,D110*1.2,D110)/$W$4</f>
        <v>2710</v>
      </c>
      <c r="F110" s="119"/>
      <c r="G110" s="47"/>
      <c r="H110" s="20">
        <f>IF(AE110="","",(1-$W$2)*(AE110/1.2))</f>
        <v>2575</v>
      </c>
      <c r="I110" s="116">
        <f>IF($W$5=0.2,H110*1.2,H110)/$W$4</f>
        <v>3090</v>
      </c>
      <c r="J110" s="119"/>
      <c r="K110" s="47"/>
      <c r="L110" s="20">
        <f>IF(AG110="","",(1-$W$2)*(AG110/1.2))</f>
        <v>2750</v>
      </c>
      <c r="M110" s="116">
        <f>IF($W$5=0.2,L110*1.2,L110)/$W$4</f>
        <v>3300</v>
      </c>
      <c r="N110" s="119"/>
      <c r="O110" s="47"/>
      <c r="P110" s="20">
        <f>IF(AI110="","",(1-$W$2)*(AI110/1.2))</f>
        <v>2900</v>
      </c>
      <c r="Q110" s="116">
        <f>IF($W$5=0.2,P110*1.2,P110)/$W$4</f>
        <v>3480</v>
      </c>
      <c r="R110" s="119"/>
      <c r="S110" s="47"/>
      <c r="T110" s="20">
        <f>IF(AK110="","",(1-$W$2)*(AK110/1.2))</f>
        <v>3075</v>
      </c>
      <c r="U110" s="116">
        <f>IF($W$5=0.2,T110*1.2,T110)/$W$4</f>
        <v>3690</v>
      </c>
      <c r="V110" s="119"/>
      <c r="W110" s="47"/>
      <c r="AC110" s="145">
        <v>2710</v>
      </c>
      <c r="AD110" s="145">
        <v>0</v>
      </c>
      <c r="AE110" s="145">
        <v>3090</v>
      </c>
      <c r="AF110" s="145">
        <v>0</v>
      </c>
      <c r="AG110" s="145">
        <v>3300</v>
      </c>
      <c r="AH110" s="145">
        <v>0</v>
      </c>
      <c r="AI110" s="145">
        <v>3480</v>
      </c>
      <c r="AJ110" s="145">
        <v>0</v>
      </c>
      <c r="AK110" s="145">
        <v>3690</v>
      </c>
      <c r="AL110" s="129"/>
      <c r="AM110" s="150">
        <v>2360</v>
      </c>
      <c r="AN110" s="136">
        <f>AM110/AC110-1</f>
        <v>-0.12915129151291516</v>
      </c>
      <c r="AO110" s="150">
        <f>AD110/100*13+AD110</f>
        <v>0</v>
      </c>
      <c r="AP110" s="25" t="e">
        <f>AO110/AD110-1</f>
        <v>#DIV/0!</v>
      </c>
      <c r="AQ110" s="150">
        <v>2690</v>
      </c>
      <c r="AR110" s="25">
        <f>AQ110/AE110-1</f>
        <v>-0.12944983818770228</v>
      </c>
      <c r="AS110" s="150">
        <f>AF110/100*13+AF110</f>
        <v>0</v>
      </c>
      <c r="AT110" s="25" t="e">
        <f>AS110/AF110-1</f>
        <v>#DIV/0!</v>
      </c>
      <c r="AU110" s="150">
        <v>2870</v>
      </c>
      <c r="AV110" s="1">
        <f>AU110/AG110-1</f>
        <v>-0.13030303030303025</v>
      </c>
      <c r="AW110" s="1">
        <f>AH110/100*13+AH110</f>
        <v>0</v>
      </c>
    </row>
    <row r="111" spans="1:49" x14ac:dyDescent="0.25">
      <c r="C111" s="110"/>
      <c r="D111" s="21"/>
      <c r="E111" s="38"/>
      <c r="F111" s="21"/>
      <c r="G111" s="38"/>
      <c r="H111" s="5"/>
      <c r="K111" s="17"/>
      <c r="L111" s="33"/>
      <c r="M111" s="75"/>
      <c r="N111" s="33"/>
      <c r="O111" s="33"/>
      <c r="P111" s="33"/>
      <c r="Q111" s="75"/>
      <c r="R111" s="33"/>
      <c r="S111" s="33"/>
      <c r="U111" s="17"/>
      <c r="W111" s="17"/>
    </row>
    <row r="112" spans="1:49" ht="12.75" customHeight="1" x14ac:dyDescent="0.25">
      <c r="B112" s="211" t="str">
        <f>IF($C$1="ENG","For additonal charge:","Послуги за додаткову плату:")</f>
        <v>Послуги за додаткову плату:</v>
      </c>
      <c r="C112" s="212"/>
      <c r="D112" s="213"/>
      <c r="E112" s="214"/>
      <c r="F112" s="213"/>
      <c r="G112" s="213"/>
      <c r="H112" s="297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</row>
    <row r="113" spans="1:47" ht="5.0999999999999996" customHeight="1" x14ac:dyDescent="0.25">
      <c r="B113" s="22"/>
      <c r="C113" s="110"/>
      <c r="D113" s="21"/>
      <c r="E113" s="38"/>
      <c r="F113" s="21"/>
      <c r="G113" s="21"/>
      <c r="H113" s="10"/>
      <c r="I113" s="8"/>
      <c r="J113" s="8"/>
      <c r="K113" s="8"/>
      <c r="U113" s="17"/>
      <c r="W113" s="17"/>
    </row>
    <row r="114" spans="1:47" x14ac:dyDescent="0.25">
      <c r="B114" s="351" t="str">
        <f>IF($C$1="ENG","hidden 3D door hindge","прихована 3D завіса хром/чорн.")</f>
        <v>прихована 3D завіса хром/чорн.</v>
      </c>
      <c r="C114" s="352"/>
      <c r="D114" s="34">
        <f>IF(AC114="","",(1-$W$2)*(AC114/1.2))</f>
        <v>850</v>
      </c>
      <c r="E114" s="61">
        <f>IF($W$5=0.2,D114*1.2,D114)/$W$4</f>
        <v>1020</v>
      </c>
      <c r="F114" s="21"/>
      <c r="G114" s="21"/>
      <c r="H114" s="10"/>
      <c r="I114" s="60"/>
      <c r="J114" s="8"/>
      <c r="K114" s="60"/>
      <c r="U114" s="17"/>
      <c r="W114" s="17"/>
      <c r="AC114" s="130">
        <v>1020</v>
      </c>
      <c r="AD114" s="150"/>
      <c r="AE114" s="25"/>
      <c r="AF114" s="129"/>
      <c r="AG114" s="129"/>
      <c r="AH114" s="129"/>
      <c r="AI114" s="129"/>
      <c r="AJ114" s="129"/>
      <c r="AK114" s="129"/>
      <c r="AL114" s="129"/>
    </row>
    <row r="115" spans="1:47" ht="14.25" customHeight="1" x14ac:dyDescent="0.25">
      <c r="T115" s="341"/>
      <c r="U115" s="341"/>
      <c r="V115" s="341"/>
      <c r="W115" s="341"/>
    </row>
    <row r="116" spans="1:47" s="8" customFormat="1" x14ac:dyDescent="0.25">
      <c r="B116" s="175"/>
      <c r="C116" s="164"/>
      <c r="D116" s="23"/>
      <c r="E116" s="39"/>
      <c r="F116" s="23"/>
      <c r="G116" s="39"/>
      <c r="H116" s="23"/>
      <c r="I116" s="39"/>
      <c r="J116" s="23"/>
      <c r="K116" s="39"/>
      <c r="L116" s="23"/>
      <c r="M116" s="39"/>
      <c r="N116" s="23"/>
      <c r="O116" s="39"/>
      <c r="P116" s="23"/>
      <c r="Q116" s="39"/>
      <c r="R116" s="23"/>
      <c r="S116" s="39"/>
      <c r="T116" s="23"/>
      <c r="U116" s="39"/>
      <c r="V116" s="23"/>
      <c r="W116" s="39"/>
      <c r="X116" s="29"/>
      <c r="Y116" s="29"/>
      <c r="Z116" s="29"/>
      <c r="AA116" s="29"/>
      <c r="AB116" s="29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179"/>
      <c r="AN116" s="180"/>
      <c r="AO116" s="179"/>
      <c r="AP116" s="123"/>
      <c r="AQ116" s="179"/>
      <c r="AR116" s="123"/>
      <c r="AS116" s="179"/>
      <c r="AT116" s="123"/>
      <c r="AU116" s="179"/>
    </row>
    <row r="117" spans="1:47" s="8" customFormat="1" x14ac:dyDescent="0.25">
      <c r="B117" s="175"/>
      <c r="C117" s="164"/>
      <c r="D117" s="23"/>
      <c r="E117" s="39"/>
      <c r="F117" s="23"/>
      <c r="G117" s="39"/>
      <c r="H117" s="23"/>
      <c r="I117" s="39"/>
      <c r="J117" s="23"/>
      <c r="K117" s="39"/>
      <c r="L117" s="23"/>
      <c r="M117" s="39"/>
      <c r="N117" s="23"/>
      <c r="O117" s="39"/>
      <c r="P117" s="23"/>
      <c r="Q117" s="39"/>
      <c r="R117" s="23"/>
      <c r="S117" s="39"/>
      <c r="T117" s="23"/>
      <c r="U117" s="39"/>
      <c r="V117" s="23"/>
      <c r="W117" s="39"/>
      <c r="X117" s="29"/>
      <c r="Y117" s="29"/>
      <c r="Z117" s="29"/>
      <c r="AA117" s="29"/>
      <c r="AB117" s="29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179"/>
      <c r="AN117" s="180"/>
      <c r="AO117" s="179"/>
      <c r="AP117" s="123"/>
      <c r="AQ117" s="179"/>
      <c r="AR117" s="123"/>
      <c r="AS117" s="179"/>
      <c r="AT117" s="123"/>
      <c r="AU117" s="179"/>
    </row>
    <row r="118" spans="1:47" s="8" customFormat="1" x14ac:dyDescent="0.25">
      <c r="B118" s="175"/>
      <c r="C118" s="164"/>
      <c r="D118" s="23"/>
      <c r="E118" s="39"/>
      <c r="F118" s="23"/>
      <c r="G118" s="39"/>
      <c r="H118" s="23"/>
      <c r="I118" s="39"/>
      <c r="J118" s="23"/>
      <c r="K118" s="39"/>
      <c r="L118" s="23"/>
      <c r="M118" s="39"/>
      <c r="N118" s="23"/>
      <c r="O118" s="39"/>
      <c r="P118" s="23"/>
      <c r="Q118" s="39"/>
      <c r="R118" s="23"/>
      <c r="S118" s="39"/>
      <c r="T118" s="23"/>
      <c r="U118" s="39"/>
      <c r="V118" s="23"/>
      <c r="W118" s="39"/>
      <c r="X118" s="29"/>
      <c r="Y118" s="29"/>
      <c r="Z118" s="29"/>
      <c r="AA118" s="29"/>
      <c r="AB118" s="29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179"/>
      <c r="AN118" s="180"/>
      <c r="AO118" s="179"/>
      <c r="AP118" s="123"/>
      <c r="AQ118" s="179"/>
      <c r="AR118" s="123"/>
      <c r="AS118" s="179"/>
      <c r="AT118" s="123"/>
      <c r="AU118" s="179"/>
    </row>
    <row r="119" spans="1:47" s="8" customFormat="1" ht="24.9" customHeight="1" x14ac:dyDescent="0.25">
      <c r="B119" s="246" t="str">
        <f>TITLE!C45</f>
        <v>Дверна коробка Verto-FIT Inside</v>
      </c>
      <c r="C119" s="244"/>
      <c r="D119" s="245"/>
      <c r="E119" s="217"/>
      <c r="F119" s="216"/>
      <c r="G119" s="299" t="str">
        <f>IF($C$1="ENG","For Door Leafs inside","Для Дверних Полотен Внутрішнього відкривання")</f>
        <v>Для Дверних Полотен Внутрішнього відкривання</v>
      </c>
      <c r="H119" s="216"/>
      <c r="I119" s="217"/>
      <c r="J119" s="217"/>
      <c r="K119" s="217"/>
      <c r="L119" s="217"/>
      <c r="M119" s="217"/>
      <c r="N119" s="217"/>
      <c r="O119" s="217"/>
      <c r="P119" s="217"/>
      <c r="Q119" s="217"/>
      <c r="R119" s="217"/>
      <c r="S119" s="217"/>
      <c r="T119" s="217"/>
      <c r="U119" s="217"/>
      <c r="V119" s="217"/>
      <c r="W119" s="217"/>
      <c r="X119" s="185"/>
      <c r="AN119" s="123"/>
      <c r="AO119" s="123"/>
      <c r="AP119" s="123"/>
      <c r="AQ119" s="123"/>
      <c r="AR119" s="123"/>
      <c r="AS119" s="123"/>
      <c r="AT119" s="123"/>
    </row>
    <row r="120" spans="1:47" s="8" customFormat="1" ht="5.0999999999999996" customHeight="1" x14ac:dyDescent="0.25">
      <c r="C120" s="163"/>
      <c r="T120" s="174"/>
      <c r="U120" s="174"/>
      <c r="V120" s="174"/>
      <c r="W120" s="174"/>
      <c r="AN120" s="123"/>
      <c r="AO120" s="123"/>
      <c r="AP120" s="123"/>
      <c r="AQ120" s="123"/>
      <c r="AR120" s="123"/>
      <c r="AS120" s="123"/>
      <c r="AT120" s="123"/>
    </row>
    <row r="121" spans="1:47" ht="12.75" customHeight="1" x14ac:dyDescent="0.25">
      <c r="A121" s="8"/>
      <c r="B121" s="133" t="str">
        <f>IF($C$1="ENG","model","модель")</f>
        <v>модель</v>
      </c>
      <c r="C121" s="85" t="str">
        <f>IF($C$1="ENG","cover:","покриття:")</f>
        <v>покриття:</v>
      </c>
      <c r="D121" s="344" t="str">
        <f>IF($C$1="ENG","SIMPLEX / VERTO-CELL","SIMPLEX / VERTO-CELL ")</f>
        <v xml:space="preserve">SIMPLEX / VERTO-CELL </v>
      </c>
      <c r="E121" s="353"/>
      <c r="F121" s="353"/>
      <c r="G121" s="345"/>
      <c r="H121" s="344" t="str">
        <f>IF($C$1="ENG","UNI-MAT","UNI-MAT")</f>
        <v>UNI-MAT</v>
      </c>
      <c r="I121" s="353"/>
      <c r="J121" s="353"/>
      <c r="K121" s="345"/>
      <c r="L121" s="344" t="str">
        <f>IF($C$1="ENG","RESIST","RESIST")</f>
        <v>RESIST</v>
      </c>
      <c r="M121" s="353"/>
      <c r="N121" s="353"/>
      <c r="O121" s="345"/>
      <c r="AL121" s="25"/>
      <c r="AM121" s="147">
        <v>0.15</v>
      </c>
      <c r="AS121" s="1"/>
      <c r="AT121" s="1"/>
    </row>
    <row r="122" spans="1:47" ht="12.75" customHeight="1" x14ac:dyDescent="0.25">
      <c r="A122" s="8"/>
      <c r="B122" s="134"/>
      <c r="C122" s="86" t="str">
        <f>IF($C$1="ENG","type:","виконання:")</f>
        <v>виконання:</v>
      </c>
      <c r="D122" s="342" t="str">
        <f>IF($C$1="ENG","single leaf","одностулкове")</f>
        <v>одностулкове</v>
      </c>
      <c r="E122" s="348"/>
      <c r="F122" s="279"/>
      <c r="G122" s="280"/>
      <c r="H122" s="342" t="str">
        <f>IF($C$1="ENG","single leaf","одностулкове")</f>
        <v>одностулкове</v>
      </c>
      <c r="I122" s="348"/>
      <c r="J122" s="279"/>
      <c r="K122" s="280"/>
      <c r="L122" s="342" t="str">
        <f>IF($C$1="ENG","single leaf","одностулкове")</f>
        <v>одностулкове</v>
      </c>
      <c r="M122" s="348"/>
      <c r="N122" s="349"/>
      <c r="O122" s="343"/>
      <c r="AD122" s="1">
        <v>1.1499999999999999</v>
      </c>
      <c r="AL122" s="25"/>
      <c r="AM122" s="25"/>
      <c r="AS122" s="1"/>
      <c r="AT122" s="1"/>
    </row>
    <row r="123" spans="1:47" ht="12.75" customHeight="1" x14ac:dyDescent="0.25">
      <c r="A123" s="8"/>
      <c r="B123" s="12" t="str">
        <f>IF($C$1="ENG","A (75 - 95 mm)","A (75 - 95 мм)")</f>
        <v>A (75 - 95 мм)</v>
      </c>
      <c r="C123" s="304"/>
      <c r="D123" s="13">
        <f t="shared" ref="D123:D131" si="69">IF(AA123="","",(1-$W$2)*(AA123/1.2))</f>
        <v>3341.666666666667</v>
      </c>
      <c r="E123" s="114">
        <f t="shared" ref="E123:E131" si="70">IF($W$5=0.2,D123*1.2,D123)/$W$4</f>
        <v>4010</v>
      </c>
      <c r="F123" s="117"/>
      <c r="G123" s="43"/>
      <c r="H123" s="13">
        <f t="shared" ref="H123:H131" si="71">IF(AC123="","",(1-$W$2)*(AC123/1.2))</f>
        <v>3841.666666666667</v>
      </c>
      <c r="I123" s="114">
        <f t="shared" ref="I123:I131" si="72">IF($W$5=0.2,H123*1.2,H123)/$W$4</f>
        <v>4610</v>
      </c>
      <c r="J123" s="117"/>
      <c r="K123" s="43"/>
      <c r="L123" s="13">
        <f t="shared" ref="L123:L131" si="73">IF(AE123="","",(1-$W$2)*(AE123/1.2))</f>
        <v>4083.3333333333335</v>
      </c>
      <c r="M123" s="114">
        <f t="shared" ref="M123:M131" si="74">IF($W$5=0.2,L123*1.2,L123)/$W$4</f>
        <v>4900</v>
      </c>
      <c r="N123" s="117"/>
      <c r="O123" s="43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329">
        <v>4010</v>
      </c>
      <c r="AB123" s="329">
        <v>0</v>
      </c>
      <c r="AC123" s="329">
        <v>4610</v>
      </c>
      <c r="AD123" s="329">
        <v>0</v>
      </c>
      <c r="AE123" s="329">
        <v>4900</v>
      </c>
      <c r="AF123" s="1">
        <v>0</v>
      </c>
      <c r="AG123" s="1">
        <v>5300</v>
      </c>
      <c r="AH123" s="1">
        <v>0</v>
      </c>
      <c r="AI123" s="1">
        <v>5669.5</v>
      </c>
      <c r="AJ123" s="129"/>
      <c r="AK123" s="150">
        <v>3570</v>
      </c>
      <c r="AL123" s="136">
        <f>AK123/AA123-1</f>
        <v>-0.10972568578553621</v>
      </c>
      <c r="AM123" s="150">
        <f>AB123/100*13+AB123</f>
        <v>0</v>
      </c>
      <c r="AN123" s="25" t="e">
        <f>AM123/AB123-1</f>
        <v>#DIV/0!</v>
      </c>
      <c r="AO123" s="150">
        <v>4101</v>
      </c>
      <c r="AP123" s="25">
        <f>AO123/AC123-1</f>
        <v>-0.11041214750542294</v>
      </c>
      <c r="AQ123" s="150">
        <f>AD123/100*13+AD123</f>
        <v>0</v>
      </c>
      <c r="AR123" s="25" t="e">
        <f>AQ123/AD123-1</f>
        <v>#DIV/0!</v>
      </c>
      <c r="AS123" s="150">
        <v>4320</v>
      </c>
      <c r="AT123" s="1">
        <f>AS123/AE123-1</f>
        <v>-0.11836734693877549</v>
      </c>
      <c r="AU123" s="1">
        <f>AF123/100*13+AF123</f>
        <v>0</v>
      </c>
    </row>
    <row r="124" spans="1:47" x14ac:dyDescent="0.25">
      <c r="A124" s="8"/>
      <c r="B124" s="14" t="str">
        <f>IF($C$1="ENG","B (95 - 115 mm)","B (95 - 115 мм)")</f>
        <v>B (95 - 115 мм)</v>
      </c>
      <c r="C124" s="305"/>
      <c r="D124" s="15">
        <f t="shared" si="69"/>
        <v>3525</v>
      </c>
      <c r="E124" s="115">
        <f t="shared" si="70"/>
        <v>4230</v>
      </c>
      <c r="F124" s="118"/>
      <c r="G124" s="45"/>
      <c r="H124" s="15">
        <f t="shared" si="71"/>
        <v>4066.666666666667</v>
      </c>
      <c r="I124" s="115">
        <f t="shared" si="72"/>
        <v>4880</v>
      </c>
      <c r="J124" s="118"/>
      <c r="K124" s="45"/>
      <c r="L124" s="15">
        <f t="shared" si="73"/>
        <v>4291.666666666667</v>
      </c>
      <c r="M124" s="115">
        <f t="shared" si="74"/>
        <v>5150</v>
      </c>
      <c r="N124" s="118"/>
      <c r="O124" s="45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329">
        <v>4230</v>
      </c>
      <c r="AB124" s="329">
        <v>0</v>
      </c>
      <c r="AC124" s="329">
        <v>4880</v>
      </c>
      <c r="AD124" s="329">
        <v>0</v>
      </c>
      <c r="AE124" s="329">
        <v>5150</v>
      </c>
      <c r="AF124" s="1">
        <v>0</v>
      </c>
      <c r="AG124" s="1">
        <v>5570</v>
      </c>
      <c r="AH124" s="1">
        <v>0</v>
      </c>
      <c r="AI124" s="1">
        <v>5945.4999999999991</v>
      </c>
      <c r="AJ124" s="129"/>
      <c r="AK124" s="150">
        <v>3740</v>
      </c>
      <c r="AL124" s="25">
        <f t="shared" ref="AL124:AL131" si="75">AK124/AA124-1</f>
        <v>-0.11583924349881791</v>
      </c>
      <c r="AM124" s="150">
        <f t="shared" ref="AM124:AM131" si="76">AB124/100*13+AB124</f>
        <v>0</v>
      </c>
      <c r="AN124" s="25" t="e">
        <f t="shared" ref="AN124:AN131" si="77">AM124/AB124-1</f>
        <v>#DIV/0!</v>
      </c>
      <c r="AO124" s="150">
        <v>4310</v>
      </c>
      <c r="AP124" s="25">
        <f t="shared" ref="AP124:AP131" si="78">AO124/AC124-1</f>
        <v>-0.11680327868852458</v>
      </c>
      <c r="AQ124" s="150">
        <f t="shared" ref="AQ124:AQ131" si="79">AD124/100*13+AD124</f>
        <v>0</v>
      </c>
      <c r="AR124" s="25" t="e">
        <f t="shared" ref="AR124:AR131" si="80">AQ124/AD124-1</f>
        <v>#DIV/0!</v>
      </c>
      <c r="AS124" s="150">
        <v>4520</v>
      </c>
      <c r="AT124" s="1">
        <f t="shared" ref="AT124:AT131" si="81">AS124/AE124-1</f>
        <v>-0.12233009708737863</v>
      </c>
      <c r="AU124" s="1">
        <f t="shared" ref="AU124:AU131" si="82">AF124/100*13+AF124</f>
        <v>0</v>
      </c>
    </row>
    <row r="125" spans="1:47" x14ac:dyDescent="0.25">
      <c r="A125" s="8"/>
      <c r="B125" s="14" t="str">
        <f>IF($C$1="ENG","B+ (100 - 120 mm)","B+ (100 - 120 мм)")</f>
        <v>B+ (100 - 120 мм)</v>
      </c>
      <c r="C125" s="305"/>
      <c r="D125" s="15">
        <f t="shared" si="69"/>
        <v>3625</v>
      </c>
      <c r="E125" s="115">
        <f t="shared" si="70"/>
        <v>4350</v>
      </c>
      <c r="F125" s="118"/>
      <c r="G125" s="45"/>
      <c r="H125" s="15">
        <f t="shared" si="71"/>
        <v>4175</v>
      </c>
      <c r="I125" s="115">
        <f t="shared" si="72"/>
        <v>5010</v>
      </c>
      <c r="J125" s="118"/>
      <c r="K125" s="45"/>
      <c r="L125" s="15">
        <f t="shared" si="73"/>
        <v>4416.666666666667</v>
      </c>
      <c r="M125" s="115">
        <f t="shared" si="74"/>
        <v>5300</v>
      </c>
      <c r="N125" s="118"/>
      <c r="O125" s="45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329">
        <v>4350</v>
      </c>
      <c r="AB125" s="329">
        <v>0</v>
      </c>
      <c r="AC125" s="329">
        <v>5010</v>
      </c>
      <c r="AD125" s="329">
        <v>0</v>
      </c>
      <c r="AE125" s="329">
        <v>5300</v>
      </c>
      <c r="AF125" s="1">
        <v>0</v>
      </c>
      <c r="AG125" s="1">
        <v>5690</v>
      </c>
      <c r="AH125" s="1">
        <v>0</v>
      </c>
      <c r="AI125" s="1">
        <v>6071.9999999999991</v>
      </c>
      <c r="AJ125" s="129"/>
      <c r="AK125" s="150">
        <v>3820</v>
      </c>
      <c r="AL125" s="136">
        <f t="shared" si="75"/>
        <v>-0.1218390804597701</v>
      </c>
      <c r="AM125" s="150">
        <f t="shared" si="76"/>
        <v>0</v>
      </c>
      <c r="AN125" s="136" t="e">
        <f t="shared" si="77"/>
        <v>#DIV/0!</v>
      </c>
      <c r="AO125" s="150">
        <v>4400</v>
      </c>
      <c r="AP125" s="25">
        <f t="shared" si="78"/>
        <v>-0.1217564870259481</v>
      </c>
      <c r="AQ125" s="150">
        <f t="shared" si="79"/>
        <v>0</v>
      </c>
      <c r="AR125" s="25" t="e">
        <f t="shared" si="80"/>
        <v>#DIV/0!</v>
      </c>
      <c r="AS125" s="150">
        <v>4630</v>
      </c>
      <c r="AT125" s="1">
        <f t="shared" si="81"/>
        <v>-0.12641509433962261</v>
      </c>
      <c r="AU125" s="1">
        <f t="shared" si="82"/>
        <v>0</v>
      </c>
    </row>
    <row r="126" spans="1:47" x14ac:dyDescent="0.25">
      <c r="A126" s="8"/>
      <c r="B126" s="14" t="str">
        <f>IF($C$1="ENG","C (120 - 140 mm)","C (120 - 140 мм)")</f>
        <v>C (120 - 140 мм)</v>
      </c>
      <c r="C126" s="305"/>
      <c r="D126" s="15">
        <f t="shared" si="69"/>
        <v>3708.3333333333335</v>
      </c>
      <c r="E126" s="115">
        <f t="shared" si="70"/>
        <v>4450</v>
      </c>
      <c r="F126" s="118"/>
      <c r="G126" s="45"/>
      <c r="H126" s="15">
        <f t="shared" si="71"/>
        <v>4266.666666666667</v>
      </c>
      <c r="I126" s="115">
        <f t="shared" si="72"/>
        <v>5120</v>
      </c>
      <c r="J126" s="118"/>
      <c r="K126" s="45"/>
      <c r="L126" s="15">
        <f t="shared" si="73"/>
        <v>4516.666666666667</v>
      </c>
      <c r="M126" s="115">
        <f t="shared" si="74"/>
        <v>5420</v>
      </c>
      <c r="N126" s="118"/>
      <c r="O126" s="45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329">
        <v>4450</v>
      </c>
      <c r="AB126" s="329">
        <v>0</v>
      </c>
      <c r="AC126" s="329">
        <v>5120</v>
      </c>
      <c r="AD126" s="329">
        <v>0</v>
      </c>
      <c r="AE126" s="329">
        <v>5420</v>
      </c>
      <c r="AF126" s="1">
        <v>0</v>
      </c>
      <c r="AG126" s="1">
        <v>5820</v>
      </c>
      <c r="AH126" s="1">
        <v>0</v>
      </c>
      <c r="AI126" s="1">
        <v>6209.9999999999991</v>
      </c>
      <c r="AJ126" s="129"/>
      <c r="AK126" s="150">
        <v>3910</v>
      </c>
      <c r="AL126" s="136">
        <f t="shared" si="75"/>
        <v>-0.12134831460674156</v>
      </c>
      <c r="AM126" s="150">
        <f t="shared" si="76"/>
        <v>0</v>
      </c>
      <c r="AN126" s="25" t="e">
        <f t="shared" si="77"/>
        <v>#DIV/0!</v>
      </c>
      <c r="AO126" s="150">
        <v>4400</v>
      </c>
      <c r="AP126" s="25">
        <f t="shared" si="78"/>
        <v>-0.140625</v>
      </c>
      <c r="AQ126" s="150">
        <f t="shared" si="79"/>
        <v>0</v>
      </c>
      <c r="AR126" s="25" t="e">
        <f t="shared" si="80"/>
        <v>#DIV/0!</v>
      </c>
      <c r="AS126" s="150">
        <v>4710</v>
      </c>
      <c r="AT126" s="1">
        <f t="shared" si="81"/>
        <v>-0.13099630996309963</v>
      </c>
      <c r="AU126" s="1">
        <f t="shared" si="82"/>
        <v>0</v>
      </c>
    </row>
    <row r="127" spans="1:47" x14ac:dyDescent="0.25">
      <c r="A127" s="8"/>
      <c r="B127" s="14" t="str">
        <f>IF($C$1="ENG","D (140 - 160 mm)","D (140 - 160 мм)")</f>
        <v>D (140 - 160 мм)</v>
      </c>
      <c r="C127" s="305"/>
      <c r="D127" s="15">
        <f t="shared" si="69"/>
        <v>3908.3333333333335</v>
      </c>
      <c r="E127" s="115">
        <f t="shared" si="70"/>
        <v>4690</v>
      </c>
      <c r="F127" s="118"/>
      <c r="G127" s="45"/>
      <c r="H127" s="15">
        <f t="shared" si="71"/>
        <v>4500</v>
      </c>
      <c r="I127" s="115">
        <f t="shared" si="72"/>
        <v>5400</v>
      </c>
      <c r="J127" s="118"/>
      <c r="K127" s="45"/>
      <c r="L127" s="15">
        <f t="shared" si="73"/>
        <v>4716.666666666667</v>
      </c>
      <c r="M127" s="115">
        <f t="shared" si="74"/>
        <v>5660</v>
      </c>
      <c r="N127" s="118"/>
      <c r="O127" s="45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329">
        <v>4690</v>
      </c>
      <c r="AB127" s="329">
        <v>0</v>
      </c>
      <c r="AC127" s="329">
        <v>5400</v>
      </c>
      <c r="AD127" s="329">
        <v>0</v>
      </c>
      <c r="AE127" s="329">
        <v>5660</v>
      </c>
      <c r="AF127" s="1">
        <v>0</v>
      </c>
      <c r="AG127" s="1">
        <v>6080</v>
      </c>
      <c r="AH127" s="1">
        <v>0</v>
      </c>
      <c r="AI127" s="1">
        <v>6497.4999999999991</v>
      </c>
      <c r="AJ127" s="129"/>
      <c r="AK127" s="150">
        <v>4080</v>
      </c>
      <c r="AL127" s="136">
        <f t="shared" si="75"/>
        <v>-0.13006396588486135</v>
      </c>
      <c r="AM127" s="150">
        <f t="shared" si="76"/>
        <v>0</v>
      </c>
      <c r="AN127" s="25" t="e">
        <f t="shared" si="77"/>
        <v>#DIV/0!</v>
      </c>
      <c r="AO127" s="150">
        <v>4690</v>
      </c>
      <c r="AP127" s="25">
        <f t="shared" si="78"/>
        <v>-0.13148148148148153</v>
      </c>
      <c r="AQ127" s="150">
        <f t="shared" si="79"/>
        <v>0</v>
      </c>
      <c r="AR127" s="25" t="e">
        <f t="shared" si="80"/>
        <v>#DIV/0!</v>
      </c>
      <c r="AS127" s="150">
        <v>4930</v>
      </c>
      <c r="AT127" s="1">
        <f t="shared" si="81"/>
        <v>-0.12897526501766787</v>
      </c>
      <c r="AU127" s="1">
        <f t="shared" si="82"/>
        <v>0</v>
      </c>
    </row>
    <row r="128" spans="1:47" x14ac:dyDescent="0.25">
      <c r="A128" s="8"/>
      <c r="B128" s="14" t="str">
        <f>IF($C$1="ENG","E (160 - 180 mm)","E (160 - 180 мм)")</f>
        <v>E (160 - 180 мм)</v>
      </c>
      <c r="C128" s="305"/>
      <c r="D128" s="15">
        <f t="shared" si="69"/>
        <v>4083.3333333333335</v>
      </c>
      <c r="E128" s="115">
        <f t="shared" si="70"/>
        <v>4900</v>
      </c>
      <c r="F128" s="118"/>
      <c r="G128" s="45"/>
      <c r="H128" s="15">
        <f t="shared" si="71"/>
        <v>4691.666666666667</v>
      </c>
      <c r="I128" s="115">
        <f t="shared" si="72"/>
        <v>5630</v>
      </c>
      <c r="J128" s="118"/>
      <c r="K128" s="45"/>
      <c r="L128" s="15">
        <f t="shared" si="73"/>
        <v>4925</v>
      </c>
      <c r="M128" s="115">
        <f t="shared" si="74"/>
        <v>5910</v>
      </c>
      <c r="N128" s="118"/>
      <c r="O128" s="45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329">
        <v>4900</v>
      </c>
      <c r="AB128" s="329">
        <v>0</v>
      </c>
      <c r="AC128" s="329">
        <v>5630</v>
      </c>
      <c r="AD128" s="329">
        <v>0</v>
      </c>
      <c r="AE128" s="329">
        <v>5910</v>
      </c>
      <c r="AF128" s="1">
        <v>0</v>
      </c>
      <c r="AG128" s="1">
        <v>6350</v>
      </c>
      <c r="AH128" s="1">
        <v>0</v>
      </c>
      <c r="AI128" s="1">
        <v>6773.4999999999991</v>
      </c>
      <c r="AJ128" s="129"/>
      <c r="AK128" s="150">
        <v>4250</v>
      </c>
      <c r="AL128" s="136">
        <f t="shared" si="75"/>
        <v>-0.13265306122448983</v>
      </c>
      <c r="AM128" s="150">
        <f t="shared" si="76"/>
        <v>0</v>
      </c>
      <c r="AN128" s="25" t="e">
        <f t="shared" si="77"/>
        <v>#DIV/0!</v>
      </c>
      <c r="AO128" s="150">
        <v>4880</v>
      </c>
      <c r="AP128" s="25">
        <f t="shared" si="78"/>
        <v>-0.13321492007104796</v>
      </c>
      <c r="AQ128" s="150">
        <f t="shared" si="79"/>
        <v>0</v>
      </c>
      <c r="AR128" s="25" t="e">
        <f t="shared" si="80"/>
        <v>#DIV/0!</v>
      </c>
      <c r="AS128" s="150">
        <v>5140</v>
      </c>
      <c r="AT128" s="1">
        <f t="shared" si="81"/>
        <v>-0.1302876480541455</v>
      </c>
      <c r="AU128" s="1">
        <f t="shared" si="82"/>
        <v>0</v>
      </c>
    </row>
    <row r="129" spans="1:49" x14ac:dyDescent="0.25">
      <c r="A129" s="8"/>
      <c r="B129" s="14" t="str">
        <f>IF($C$1="ENG","F (180 - 200 mm)","F (180 - 200 мм)")</f>
        <v>F (180 - 200 мм)</v>
      </c>
      <c r="C129" s="305"/>
      <c r="D129" s="15">
        <f t="shared" si="69"/>
        <v>4283.3333333333339</v>
      </c>
      <c r="E129" s="115">
        <f t="shared" si="70"/>
        <v>5140.0000000000009</v>
      </c>
      <c r="F129" s="118"/>
      <c r="G129" s="45"/>
      <c r="H129" s="15">
        <f t="shared" si="71"/>
        <v>4916.666666666667</v>
      </c>
      <c r="I129" s="115">
        <f t="shared" si="72"/>
        <v>5900</v>
      </c>
      <c r="J129" s="118"/>
      <c r="K129" s="45"/>
      <c r="L129" s="15">
        <f t="shared" si="73"/>
        <v>5166.666666666667</v>
      </c>
      <c r="M129" s="115">
        <f t="shared" si="74"/>
        <v>6200</v>
      </c>
      <c r="N129" s="118"/>
      <c r="O129" s="45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329">
        <v>5140</v>
      </c>
      <c r="AB129" s="329">
        <v>0</v>
      </c>
      <c r="AC129" s="329">
        <v>5900</v>
      </c>
      <c r="AD129" s="329">
        <v>0</v>
      </c>
      <c r="AE129" s="329">
        <v>6200</v>
      </c>
      <c r="AF129" s="1">
        <v>0</v>
      </c>
      <c r="AG129" s="1">
        <v>6600</v>
      </c>
      <c r="AH129" s="1">
        <v>0</v>
      </c>
      <c r="AI129" s="1">
        <v>7060.9999999999991</v>
      </c>
      <c r="AJ129" s="129"/>
      <c r="AK129" s="150">
        <v>4420</v>
      </c>
      <c r="AL129" s="136">
        <f t="shared" si="75"/>
        <v>-0.1400778210116731</v>
      </c>
      <c r="AM129" s="150">
        <f t="shared" si="76"/>
        <v>0</v>
      </c>
      <c r="AN129" s="25" t="e">
        <f t="shared" si="77"/>
        <v>#DIV/0!</v>
      </c>
      <c r="AO129" s="150">
        <v>5090</v>
      </c>
      <c r="AP129" s="25">
        <f t="shared" si="78"/>
        <v>-0.13728813559322028</v>
      </c>
      <c r="AQ129" s="150">
        <f t="shared" si="79"/>
        <v>0</v>
      </c>
      <c r="AR129" s="25" t="e">
        <f t="shared" si="80"/>
        <v>#DIV/0!</v>
      </c>
      <c r="AS129" s="150">
        <v>5350</v>
      </c>
      <c r="AT129" s="1">
        <f t="shared" si="81"/>
        <v>-0.13709677419354838</v>
      </c>
      <c r="AU129" s="1">
        <f t="shared" si="82"/>
        <v>0</v>
      </c>
    </row>
    <row r="130" spans="1:49" x14ac:dyDescent="0.25">
      <c r="A130" s="8"/>
      <c r="B130" s="14" t="str">
        <f>IF($C$1="ENG","G (200 - 220 mm)","G (200 - 220 мм)")</f>
        <v>G (200 - 220 мм)</v>
      </c>
      <c r="C130" s="305"/>
      <c r="D130" s="15">
        <f t="shared" si="69"/>
        <v>4458.3333333333339</v>
      </c>
      <c r="E130" s="115">
        <f t="shared" si="70"/>
        <v>5350.0000000000009</v>
      </c>
      <c r="F130" s="118"/>
      <c r="G130" s="45"/>
      <c r="H130" s="15">
        <f t="shared" si="71"/>
        <v>5133.3333333333339</v>
      </c>
      <c r="I130" s="115">
        <f t="shared" si="72"/>
        <v>6160.0000000000009</v>
      </c>
      <c r="J130" s="118"/>
      <c r="K130" s="45"/>
      <c r="L130" s="15">
        <f t="shared" si="73"/>
        <v>5375</v>
      </c>
      <c r="M130" s="115">
        <f t="shared" si="74"/>
        <v>6450</v>
      </c>
      <c r="N130" s="118"/>
      <c r="O130" s="45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329">
        <v>5350</v>
      </c>
      <c r="AB130" s="329">
        <v>0</v>
      </c>
      <c r="AC130" s="329">
        <v>6160</v>
      </c>
      <c r="AD130" s="329">
        <v>0</v>
      </c>
      <c r="AE130" s="329">
        <v>6450</v>
      </c>
      <c r="AF130" s="1">
        <v>0</v>
      </c>
      <c r="AG130" s="1">
        <v>6860</v>
      </c>
      <c r="AH130" s="1">
        <v>0</v>
      </c>
      <c r="AI130" s="1">
        <v>7325.4999999999991</v>
      </c>
      <c r="AJ130" s="129"/>
      <c r="AK130" s="150">
        <v>4590</v>
      </c>
      <c r="AL130" s="136">
        <f t="shared" si="75"/>
        <v>-0.14205607476635518</v>
      </c>
      <c r="AM130" s="150">
        <f t="shared" si="76"/>
        <v>0</v>
      </c>
      <c r="AN130" s="25" t="e">
        <f t="shared" si="77"/>
        <v>#DIV/0!</v>
      </c>
      <c r="AO130" s="150">
        <v>5280</v>
      </c>
      <c r="AP130" s="25">
        <f t="shared" si="78"/>
        <v>-0.1428571428571429</v>
      </c>
      <c r="AQ130" s="150">
        <f t="shared" si="79"/>
        <v>0</v>
      </c>
      <c r="AR130" s="25" t="e">
        <f t="shared" si="80"/>
        <v>#DIV/0!</v>
      </c>
      <c r="AS130" s="150">
        <v>5560</v>
      </c>
      <c r="AT130" s="1">
        <f t="shared" si="81"/>
        <v>-0.13798449612403096</v>
      </c>
      <c r="AU130" s="1">
        <f t="shared" si="82"/>
        <v>0</v>
      </c>
    </row>
    <row r="131" spans="1:49" x14ac:dyDescent="0.25">
      <c r="A131" s="8"/>
      <c r="B131" s="19" t="str">
        <f>IF($C$1="ENG","H (220 - 240 mm)","H (220 - 240 мм)")</f>
        <v>H (220 - 240 мм)</v>
      </c>
      <c r="C131" s="306"/>
      <c r="D131" s="20">
        <f t="shared" si="69"/>
        <v>4641.666666666667</v>
      </c>
      <c r="E131" s="116">
        <f t="shared" si="70"/>
        <v>5570</v>
      </c>
      <c r="F131" s="119"/>
      <c r="G131" s="47"/>
      <c r="H131" s="20">
        <f t="shared" si="71"/>
        <v>5333.3333333333339</v>
      </c>
      <c r="I131" s="116">
        <f t="shared" si="72"/>
        <v>6400.0000000000009</v>
      </c>
      <c r="J131" s="119"/>
      <c r="K131" s="47"/>
      <c r="L131" s="20">
        <f t="shared" si="73"/>
        <v>5583.3333333333339</v>
      </c>
      <c r="M131" s="116">
        <f t="shared" si="74"/>
        <v>6700.0000000000009</v>
      </c>
      <c r="N131" s="119"/>
      <c r="O131" s="47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329">
        <v>5570</v>
      </c>
      <c r="AB131" s="329">
        <v>0</v>
      </c>
      <c r="AC131" s="329">
        <v>6400</v>
      </c>
      <c r="AD131" s="329">
        <v>0</v>
      </c>
      <c r="AE131" s="329">
        <v>6700</v>
      </c>
      <c r="AF131" s="1">
        <v>0</v>
      </c>
      <c r="AG131" s="1">
        <v>7120</v>
      </c>
      <c r="AH131" s="1">
        <v>0</v>
      </c>
      <c r="AI131" s="1">
        <v>7589.9999999999991</v>
      </c>
      <c r="AJ131" s="129"/>
      <c r="AK131" s="150">
        <v>4760</v>
      </c>
      <c r="AL131" s="136">
        <f t="shared" si="75"/>
        <v>-0.14542190305206459</v>
      </c>
      <c r="AM131" s="150">
        <f t="shared" si="76"/>
        <v>0</v>
      </c>
      <c r="AN131" s="25" t="e">
        <f t="shared" si="77"/>
        <v>#DIV/0!</v>
      </c>
      <c r="AO131" s="150">
        <v>5470</v>
      </c>
      <c r="AP131" s="25">
        <f t="shared" si="78"/>
        <v>-0.14531249999999996</v>
      </c>
      <c r="AQ131" s="150">
        <f t="shared" si="79"/>
        <v>0</v>
      </c>
      <c r="AR131" s="25" t="e">
        <f t="shared" si="80"/>
        <v>#DIV/0!</v>
      </c>
      <c r="AS131" s="150">
        <v>5760</v>
      </c>
      <c r="AT131" s="1">
        <f t="shared" si="81"/>
        <v>-0.14029850746268657</v>
      </c>
      <c r="AU131" s="1">
        <f t="shared" si="82"/>
        <v>0</v>
      </c>
    </row>
    <row r="132" spans="1:49" s="33" customFormat="1" x14ac:dyDescent="0.25">
      <c r="B132" s="138"/>
      <c r="C132" s="164"/>
      <c r="D132" s="23"/>
      <c r="E132" s="39"/>
      <c r="F132" s="23"/>
      <c r="G132" s="39"/>
      <c r="H132" s="23"/>
      <c r="I132" s="39"/>
      <c r="J132" s="23"/>
      <c r="K132" s="39"/>
      <c r="L132" s="23"/>
      <c r="M132" s="39"/>
      <c r="N132" s="23"/>
      <c r="O132" s="39"/>
      <c r="P132" s="23"/>
      <c r="Q132" s="39"/>
      <c r="R132" s="23"/>
      <c r="S132" s="39"/>
      <c r="T132" s="23"/>
      <c r="U132" s="39"/>
      <c r="V132" s="23"/>
      <c r="W132" s="39"/>
      <c r="X132" s="158"/>
      <c r="Y132" s="158"/>
      <c r="Z132" s="158"/>
      <c r="AA132" s="158"/>
      <c r="AB132" s="158"/>
      <c r="AM132" s="177"/>
      <c r="AN132" s="178"/>
      <c r="AO132" s="177"/>
      <c r="AP132" s="37"/>
      <c r="AQ132" s="177"/>
      <c r="AR132" s="37"/>
      <c r="AS132" s="177"/>
      <c r="AT132" s="37"/>
      <c r="AU132" s="177"/>
    </row>
    <row r="133" spans="1:49" s="33" customFormat="1" x14ac:dyDescent="0.25">
      <c r="B133" s="175"/>
      <c r="C133" s="164"/>
      <c r="D133" s="23"/>
      <c r="E133" s="39"/>
      <c r="F133" s="23"/>
      <c r="G133" s="39"/>
      <c r="H133" s="23"/>
      <c r="I133" s="39"/>
      <c r="J133" s="23"/>
      <c r="K133" s="39"/>
      <c r="L133" s="23"/>
      <c r="M133" s="39"/>
      <c r="N133" s="23"/>
      <c r="O133" s="39"/>
      <c r="P133" s="23"/>
      <c r="Q133" s="39"/>
      <c r="R133" s="23"/>
      <c r="S133" s="39"/>
      <c r="T133" s="23"/>
      <c r="U133" s="39"/>
      <c r="V133" s="23"/>
      <c r="W133" s="39"/>
      <c r="X133" s="158"/>
      <c r="Y133" s="158"/>
      <c r="Z133" s="158"/>
      <c r="AA133" s="158"/>
      <c r="AB133" s="158"/>
      <c r="AM133" s="177"/>
      <c r="AN133" s="178"/>
      <c r="AO133" s="177"/>
      <c r="AP133" s="37"/>
      <c r="AQ133" s="177"/>
      <c r="AR133" s="37"/>
      <c r="AS133" s="177"/>
      <c r="AT133" s="37"/>
      <c r="AU133" s="177"/>
    </row>
    <row r="134" spans="1:49" s="33" customFormat="1" ht="24.9" customHeight="1" x14ac:dyDescent="0.25">
      <c r="B134" s="36" t="str">
        <f>IF($C$1="ENG","ADJUSTABLE PANELS","ПЛАНКИ РЕГУЛЮВАЛЬНІ")</f>
        <v>ПЛАНКИ РЕГУЛЮВАЛЬНІ</v>
      </c>
      <c r="C134" s="164"/>
      <c r="D134" s="23"/>
      <c r="E134" s="350" t="str">
        <f>IF($C$1="ENG","For Door Frames Verto-FIT Inside","Для Дверних Коробок Verto-FIT Inside")</f>
        <v>Для Дверних Коробок Verto-FIT Inside</v>
      </c>
      <c r="F134" s="350"/>
      <c r="G134" s="350"/>
      <c r="H134" s="350"/>
      <c r="I134" s="350"/>
      <c r="J134" s="350"/>
      <c r="K134" s="350"/>
      <c r="L134" s="23"/>
      <c r="M134" s="75"/>
      <c r="N134" s="23"/>
      <c r="O134" s="24"/>
      <c r="P134" s="23"/>
      <c r="Q134" s="75"/>
      <c r="R134" s="23"/>
      <c r="S134" s="24"/>
      <c r="T134" s="95"/>
      <c r="U134" s="97"/>
      <c r="V134" s="95"/>
      <c r="W134" s="96"/>
      <c r="AN134" s="37"/>
      <c r="AO134" s="37"/>
      <c r="AP134" s="37"/>
      <c r="AQ134" s="37"/>
      <c r="AR134" s="37"/>
      <c r="AS134" s="37"/>
      <c r="AT134" s="37"/>
    </row>
    <row r="135" spans="1:49" ht="34.5" customHeight="1" x14ac:dyDescent="0.25">
      <c r="A135" s="8"/>
      <c r="B135" s="109" t="str">
        <f>IF($C$1="ENG","Panel (1 set) 80 mm","Планка (1 к-т) 80 мм")</f>
        <v>Планка (1 к-т) 80 мм</v>
      </c>
      <c r="C135" s="169"/>
      <c r="D135" s="13">
        <f>IF(AC135="","",(1-$W$2)*(AC135/1.2))</f>
        <v>1141.6666666666667</v>
      </c>
      <c r="E135" s="131">
        <f>IF($W$5=0.2,D135*1.2,D135)/$W$4</f>
        <v>1370</v>
      </c>
      <c r="F135" s="117"/>
      <c r="G135" s="43"/>
      <c r="H135" s="13">
        <f>IF(AE135="","",(1-$W$2)*(AE135/1.2))</f>
        <v>1258.3333333333335</v>
      </c>
      <c r="I135" s="114">
        <f>IF($W$5=0.2,H135*1.2,H135)/$W$4</f>
        <v>1510.0000000000002</v>
      </c>
      <c r="J135" s="117"/>
      <c r="K135" s="43"/>
      <c r="L135" s="13">
        <f>IF(AG135="","",(1-$W$2)*(AG135/1.2))</f>
        <v>1333.3333333333335</v>
      </c>
      <c r="M135" s="114">
        <f>IF($W$5=0.2,L135*1.2,L135)/$W$4</f>
        <v>1600.0000000000002</v>
      </c>
      <c r="N135" s="117"/>
      <c r="O135" s="43"/>
      <c r="P135" s="13">
        <f>IF(AI135="","",(1-$W$2)*(AI135/1.2))</f>
        <v>1225</v>
      </c>
      <c r="Q135" s="181"/>
      <c r="R135" s="23"/>
      <c r="S135" s="39"/>
      <c r="T135" s="23"/>
      <c r="U135" s="39"/>
      <c r="V135" s="23"/>
      <c r="W135" s="39"/>
      <c r="AC135" s="328">
        <v>1370</v>
      </c>
      <c r="AD135" s="328">
        <v>0</v>
      </c>
      <c r="AE135" s="328">
        <v>1510</v>
      </c>
      <c r="AF135" s="328">
        <v>0</v>
      </c>
      <c r="AG135" s="328">
        <v>1600</v>
      </c>
      <c r="AH135" s="144"/>
      <c r="AI135" s="144">
        <v>1470</v>
      </c>
      <c r="AJ135" s="144"/>
      <c r="AK135" s="144">
        <v>1550</v>
      </c>
      <c r="AL135" s="129"/>
      <c r="AM135" s="150">
        <v>1190</v>
      </c>
      <c r="AN135" s="136">
        <f>AM135/AC135-1</f>
        <v>-0.13138686131386856</v>
      </c>
      <c r="AO135" s="150">
        <f>AD135/100*13+AD135</f>
        <v>0</v>
      </c>
      <c r="AP135" s="25" t="e">
        <f>AO135/AD135-1</f>
        <v>#DIV/0!</v>
      </c>
      <c r="AQ135" s="150">
        <v>1310</v>
      </c>
      <c r="AR135" s="25">
        <f>AQ135/AE135-1</f>
        <v>-0.13245033112582782</v>
      </c>
      <c r="AS135" s="150">
        <f>AF135/100*13+AF135</f>
        <v>0</v>
      </c>
      <c r="AT135" s="25" t="e">
        <f>AS135/AF135-1</f>
        <v>#DIV/0!</v>
      </c>
      <c r="AU135" s="150">
        <v>1390</v>
      </c>
      <c r="AV135" s="1">
        <f>AU135/AG135-1</f>
        <v>-0.13124999999999998</v>
      </c>
      <c r="AW135" s="1">
        <f>AH135/100*13+AH135</f>
        <v>0</v>
      </c>
    </row>
    <row r="136" spans="1:49" ht="34.5" customHeight="1" x14ac:dyDescent="0.25">
      <c r="A136" s="8"/>
      <c r="B136" s="137" t="str">
        <f>IF($C$1="ENG","Panel (1 set) 160 mm","Планка (1 к-т) 160 мм")</f>
        <v>Планка (1 к-т) 160 мм</v>
      </c>
      <c r="C136" s="167"/>
      <c r="D136" s="15">
        <f>IF(AC136="","",(1-$W$2)*(AC136/1.2))</f>
        <v>1900</v>
      </c>
      <c r="E136" s="115">
        <f>IF($W$5=0.2,D136*1.2,D136)/$W$4</f>
        <v>2280</v>
      </c>
      <c r="F136" s="118"/>
      <c r="G136" s="45"/>
      <c r="H136" s="15">
        <f>IF(AE136="","",(1-$W$2)*(AE136/1.2))</f>
        <v>2158.3333333333335</v>
      </c>
      <c r="I136" s="115">
        <f>IF($W$5=0.2,H136*1.2,H136)/$W$4</f>
        <v>2590</v>
      </c>
      <c r="J136" s="118"/>
      <c r="K136" s="45"/>
      <c r="L136" s="15">
        <f>IF(AG136="","",(1-$W$2)*(AG136/1.2))</f>
        <v>2291.666666666667</v>
      </c>
      <c r="M136" s="115">
        <f>IF($W$5=0.2,L136*1.2,L136)/$W$4</f>
        <v>2750.0000000000005</v>
      </c>
      <c r="N136" s="118"/>
      <c r="O136" s="45"/>
      <c r="P136" s="15">
        <f>IF(AI136="","",(1-$W$2)*(AI136/1.2))</f>
        <v>2116.666666666667</v>
      </c>
      <c r="Q136" s="181"/>
      <c r="R136" s="23"/>
      <c r="S136" s="39"/>
      <c r="T136" s="23"/>
      <c r="U136" s="39"/>
      <c r="V136" s="23"/>
      <c r="W136" s="39"/>
      <c r="AC136" s="328">
        <v>2280</v>
      </c>
      <c r="AD136" s="328">
        <v>0</v>
      </c>
      <c r="AE136" s="328">
        <v>2590</v>
      </c>
      <c r="AF136" s="328">
        <v>0</v>
      </c>
      <c r="AG136" s="328">
        <v>2750</v>
      </c>
      <c r="AH136" s="144"/>
      <c r="AI136" s="144">
        <v>2540</v>
      </c>
      <c r="AJ136" s="144"/>
      <c r="AK136" s="144">
        <v>2690</v>
      </c>
      <c r="AL136" s="129"/>
      <c r="AM136" s="150">
        <v>1980</v>
      </c>
      <c r="AN136" s="136">
        <f>AM136/AC136-1</f>
        <v>-0.13157894736842102</v>
      </c>
      <c r="AO136" s="150">
        <f>AD136/100*13+AD136</f>
        <v>0</v>
      </c>
      <c r="AP136" s="25" t="e">
        <f>AO136/AD136-1</f>
        <v>#DIV/0!</v>
      </c>
      <c r="AQ136" s="150">
        <v>2250</v>
      </c>
      <c r="AR136" s="25">
        <f>AQ136/AE136-1</f>
        <v>-0.13127413127413123</v>
      </c>
      <c r="AS136" s="150">
        <f>AF136/100*13+AF136</f>
        <v>0</v>
      </c>
      <c r="AT136" s="25" t="e">
        <f>AS136/AF136-1</f>
        <v>#DIV/0!</v>
      </c>
      <c r="AU136" s="150">
        <v>2390</v>
      </c>
      <c r="AV136" s="1">
        <f>AU136/AG136-1</f>
        <v>-0.13090909090909086</v>
      </c>
      <c r="AW136" s="1">
        <f>AH136/100*13+AH136</f>
        <v>0</v>
      </c>
    </row>
    <row r="137" spans="1:49" ht="34.5" customHeight="1" x14ac:dyDescent="0.25">
      <c r="A137" s="8"/>
      <c r="B137" s="76" t="str">
        <f>IF($C$1="ENG","Panel (1 set) 200 mm","Планка (1 к-т) 200 мм")</f>
        <v>Планка (1 к-т) 200 мм</v>
      </c>
      <c r="C137" s="168"/>
      <c r="D137" s="20">
        <f>IF(AC137="","",(1-$W$2)*(AC137/1.2))</f>
        <v>2258.3333333333335</v>
      </c>
      <c r="E137" s="116">
        <f>IF($W$5=0.2,D137*1.2,D137)/$W$4</f>
        <v>2710</v>
      </c>
      <c r="F137" s="119"/>
      <c r="G137" s="47"/>
      <c r="H137" s="20">
        <f>IF(AE137="","",(1-$W$2)*(AE137/1.2))</f>
        <v>2575</v>
      </c>
      <c r="I137" s="116">
        <f>IF($W$5=0.2,H137*1.2,H137)/$W$4</f>
        <v>3090</v>
      </c>
      <c r="J137" s="119"/>
      <c r="K137" s="47"/>
      <c r="L137" s="20">
        <f>IF(AG137="","",(1-$W$2)*(AG137/1.2))</f>
        <v>2750</v>
      </c>
      <c r="M137" s="116">
        <f>IF($W$5=0.2,L137*1.2,L137)/$W$4</f>
        <v>3300</v>
      </c>
      <c r="N137" s="119"/>
      <c r="O137" s="47"/>
      <c r="P137" s="20">
        <f>IF(AI137="","",(1-$W$2)*(AI137/1.2))</f>
        <v>2525</v>
      </c>
      <c r="Q137" s="181"/>
      <c r="R137" s="23"/>
      <c r="S137" s="39"/>
      <c r="T137" s="23"/>
      <c r="U137" s="39"/>
      <c r="V137" s="23"/>
      <c r="W137" s="39"/>
      <c r="AC137" s="328">
        <v>2710</v>
      </c>
      <c r="AD137" s="328">
        <v>0</v>
      </c>
      <c r="AE137" s="328">
        <v>3090</v>
      </c>
      <c r="AF137" s="328">
        <v>0</v>
      </c>
      <c r="AG137" s="328">
        <v>3300</v>
      </c>
      <c r="AH137" s="144"/>
      <c r="AI137" s="144">
        <v>3030</v>
      </c>
      <c r="AJ137" s="144"/>
      <c r="AK137" s="144">
        <v>3210</v>
      </c>
      <c r="AL137" s="129"/>
      <c r="AM137" s="150">
        <v>2360</v>
      </c>
      <c r="AN137" s="136">
        <f>AM137/AC137-1</f>
        <v>-0.12915129151291516</v>
      </c>
      <c r="AO137" s="150">
        <f>AD137/100*13+AD137</f>
        <v>0</v>
      </c>
      <c r="AP137" s="25" t="e">
        <f>AO137/AD137-1</f>
        <v>#DIV/0!</v>
      </c>
      <c r="AQ137" s="150">
        <v>2690</v>
      </c>
      <c r="AR137" s="25">
        <f>AQ137/AE137-1</f>
        <v>-0.12944983818770228</v>
      </c>
      <c r="AS137" s="150">
        <f>AF137/100*13+AF137</f>
        <v>0</v>
      </c>
      <c r="AT137" s="25" t="e">
        <f>AS137/AF137-1</f>
        <v>#DIV/0!</v>
      </c>
      <c r="AU137" s="150">
        <v>2870</v>
      </c>
      <c r="AV137" s="1">
        <f>AU137/AG137-1</f>
        <v>-0.13030303030303025</v>
      </c>
      <c r="AW137" s="1">
        <f>AH137/100*13+AH137</f>
        <v>0</v>
      </c>
    </row>
    <row r="138" spans="1:49" x14ac:dyDescent="0.25">
      <c r="C138" s="110"/>
      <c r="D138" s="21"/>
      <c r="E138" s="38"/>
      <c r="F138" s="21"/>
      <c r="G138" s="38"/>
      <c r="H138" s="5"/>
      <c r="K138" s="17"/>
      <c r="L138" s="33"/>
      <c r="M138" s="75"/>
      <c r="N138" s="33"/>
      <c r="O138" s="33"/>
      <c r="P138" s="33"/>
      <c r="Q138" s="75"/>
      <c r="R138" s="33"/>
      <c r="S138" s="33"/>
      <c r="U138" s="17"/>
      <c r="W138" s="17"/>
    </row>
    <row r="139" spans="1:49" ht="12.75" customHeight="1" x14ac:dyDescent="0.25">
      <c r="B139" s="211" t="str">
        <f>IF($C$1="ENG","For additonal charge:","Послуги за додаткову плату:")</f>
        <v>Послуги за додаткову плату:</v>
      </c>
      <c r="C139" s="212"/>
      <c r="D139" s="213"/>
      <c r="E139" s="214"/>
      <c r="F139" s="213"/>
      <c r="G139" s="213"/>
      <c r="H139" s="297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</row>
    <row r="140" spans="1:49" ht="5.0999999999999996" customHeight="1" x14ac:dyDescent="0.25">
      <c r="B140" s="22"/>
      <c r="C140" s="110"/>
      <c r="D140" s="21"/>
      <c r="E140" s="38"/>
      <c r="F140" s="21"/>
      <c r="G140" s="21"/>
      <c r="H140" s="10"/>
      <c r="I140" s="8"/>
      <c r="J140" s="8"/>
      <c r="K140" s="8"/>
      <c r="U140" s="17"/>
      <c r="W140" s="17"/>
    </row>
    <row r="141" spans="1:49" x14ac:dyDescent="0.25">
      <c r="B141" s="351" t="str">
        <f>IF($C$1="ENG","hidden 3D door hindge Cemom","прихована 3D завіса Cemom хром/чорн.")</f>
        <v>прихована 3D завіса Cemom хром/чорн.</v>
      </c>
      <c r="C141" s="352"/>
      <c r="D141" s="34">
        <f>IF(AC141="","",(1-$W$2)*(AC141/1.2))</f>
        <v>1433.3333333333335</v>
      </c>
      <c r="E141" s="61">
        <v>1720</v>
      </c>
      <c r="F141" s="21"/>
      <c r="G141" s="21"/>
      <c r="H141" s="10"/>
      <c r="I141" s="60"/>
      <c r="J141" s="8"/>
      <c r="K141" s="60"/>
      <c r="U141" s="17"/>
      <c r="W141" s="17"/>
      <c r="AC141" s="130">
        <v>1720</v>
      </c>
      <c r="AD141" s="150"/>
      <c r="AE141" s="25"/>
      <c r="AF141" s="129"/>
      <c r="AG141" s="129"/>
      <c r="AH141" s="129"/>
      <c r="AI141" s="129"/>
      <c r="AJ141" s="129"/>
      <c r="AK141" s="129"/>
      <c r="AL141" s="129"/>
    </row>
    <row r="142" spans="1:49" x14ac:dyDescent="0.25">
      <c r="T142" s="341"/>
      <c r="U142" s="341"/>
      <c r="V142" s="341"/>
      <c r="W142" s="341"/>
    </row>
    <row r="143" spans="1:49" x14ac:dyDescent="0.25">
      <c r="C143" s="110"/>
      <c r="D143" s="21"/>
      <c r="E143" s="21"/>
      <c r="F143" s="21"/>
      <c r="G143" s="38"/>
      <c r="H143" s="5"/>
      <c r="K143" s="60"/>
    </row>
    <row r="144" spans="1:49" x14ac:dyDescent="0.25">
      <c r="C144" s="110"/>
      <c r="D144" s="21"/>
      <c r="E144" s="21"/>
      <c r="F144" s="21"/>
      <c r="G144" s="21"/>
      <c r="H144" s="5"/>
    </row>
    <row r="145" spans="1:58" s="25" customFormat="1" x14ac:dyDescent="0.25">
      <c r="A145" s="1"/>
      <c r="B145" s="1"/>
      <c r="C145" s="110"/>
      <c r="D145" s="21"/>
      <c r="E145" s="21"/>
      <c r="F145" s="21"/>
      <c r="G145" s="21"/>
      <c r="H145" s="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 spans="1:58" s="8" customFormat="1" ht="24.9" customHeight="1" x14ac:dyDescent="0.25">
      <c r="B146" s="246" t="str">
        <f>TITLE!C46</f>
        <v>Плінтуси</v>
      </c>
      <c r="C146" s="244"/>
      <c r="D146" s="245"/>
      <c r="E146" s="217"/>
      <c r="F146" s="216"/>
      <c r="G146" s="299"/>
      <c r="H146" s="216"/>
      <c r="I146" s="217"/>
      <c r="J146" s="217"/>
      <c r="K146" s="217"/>
      <c r="L146" s="217"/>
      <c r="M146" s="217"/>
      <c r="N146" s="217"/>
      <c r="O146" s="217"/>
      <c r="P146" s="217"/>
      <c r="Q146" s="217"/>
      <c r="R146" s="217"/>
      <c r="S146" s="217"/>
      <c r="T146" s="217"/>
      <c r="U146" s="217"/>
      <c r="V146" s="217"/>
      <c r="W146" s="217"/>
      <c r="X146" s="185"/>
      <c r="AN146" s="123"/>
      <c r="AO146" s="123"/>
      <c r="AP146" s="123"/>
      <c r="AQ146" s="123"/>
      <c r="AR146" s="123"/>
      <c r="AS146" s="123"/>
      <c r="AT146" s="123"/>
    </row>
    <row r="147" spans="1:58" s="25" customFormat="1" ht="14.25" customHeight="1" x14ac:dyDescent="0.25">
      <c r="A147" s="1"/>
      <c r="B147" s="8"/>
      <c r="C147" s="163"/>
      <c r="D147" s="8"/>
      <c r="E147" s="8"/>
      <c r="F147" s="8"/>
      <c r="G147" s="8"/>
      <c r="H147" s="8"/>
      <c r="I147" s="8"/>
      <c r="J147" s="8"/>
      <c r="K147" s="8"/>
      <c r="L147" s="33"/>
      <c r="M147" s="33"/>
      <c r="N147" s="33"/>
      <c r="O147" s="33"/>
      <c r="P147" s="33"/>
      <c r="Q147" s="33"/>
      <c r="R147" s="33"/>
      <c r="S147" s="33"/>
      <c r="T147" s="82"/>
      <c r="U147" s="82"/>
      <c r="V147" s="82"/>
      <c r="W147" s="82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</row>
    <row r="148" spans="1:58" s="25" customFormat="1" x14ac:dyDescent="0.25">
      <c r="A148" s="1"/>
      <c r="B148" s="283" t="str">
        <f>IF($C$1="ENG","model","модель")</f>
        <v>модель</v>
      </c>
      <c r="C148" s="85" t="str">
        <f>IF($C$1="ENG","cover:","покриття:")</f>
        <v>покриття:</v>
      </c>
      <c r="D148" s="344" t="str">
        <f>IF($C$1="ENG","SIMPL / V-CELL ","SIMPL / V-CELL")</f>
        <v>SIMPL / V-CELL</v>
      </c>
      <c r="E148" s="345"/>
      <c r="F148" s="344" t="str">
        <f>IF($C$1="ENG","UNI-MAT","UNI-MAT")</f>
        <v>UNI-MAT</v>
      </c>
      <c r="G148" s="345"/>
      <c r="H148" s="344" t="str">
        <f>IF($C$1="ENG","RESIST","RESIST")</f>
        <v>RESIST</v>
      </c>
      <c r="I148" s="345"/>
      <c r="J148" s="344" t="str">
        <f>IF($C$1="ENG","Verto LINE-3D","Verto LINE-3D")</f>
        <v>Verto LINE-3D</v>
      </c>
      <c r="K148" s="345"/>
      <c r="L148" s="344" t="str">
        <f>IF($C$1="ENG","Premium / LOFT","Premium/ LOFT")</f>
        <v>Premium/ LOFT</v>
      </c>
      <c r="M148" s="345"/>
      <c r="N148" s="32"/>
      <c r="O148" s="32"/>
      <c r="P148" s="32"/>
      <c r="Q148" s="32"/>
      <c r="R148" s="32"/>
      <c r="S148" s="32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48">
        <v>0.15</v>
      </c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</row>
    <row r="149" spans="1:58" s="25" customFormat="1" x14ac:dyDescent="0.25">
      <c r="A149" s="1"/>
      <c r="B149" s="284"/>
      <c r="C149" s="86" t="str">
        <f>IF($C$1="ENG","type:","виконання:")</f>
        <v>виконання:</v>
      </c>
      <c r="D149" s="342" t="str">
        <f>IF($C$1="ENG","for 1 pcs","за 1 шт.")</f>
        <v>за 1 шт.</v>
      </c>
      <c r="E149" s="343"/>
      <c r="F149" s="342" t="str">
        <f>IF($C$1="ENG","for 1 pcs","за 1 шт.")</f>
        <v>за 1 шт.</v>
      </c>
      <c r="G149" s="343"/>
      <c r="H149" s="342" t="str">
        <f>IF($C$1="ENG","for 1 pcs","за 1 шт.")</f>
        <v>за 1 шт.</v>
      </c>
      <c r="I149" s="343"/>
      <c r="J149" s="342" t="str">
        <f>IF($C$1="ENG","for 1 pcs","за 1 шт.")</f>
        <v>за 1 шт.</v>
      </c>
      <c r="K149" s="343"/>
      <c r="L149" s="342" t="str">
        <f>IF($C$1="ENG","for 1 pcs","за 1 шт.")</f>
        <v>за 1 шт.</v>
      </c>
      <c r="M149" s="343"/>
      <c r="N149" s="32"/>
      <c r="O149" s="32"/>
      <c r="P149" s="32"/>
      <c r="Q149" s="32"/>
      <c r="R149" s="32"/>
      <c r="S149" s="32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>
        <v>1.1499999999999999</v>
      </c>
      <c r="AF149" s="1"/>
      <c r="AG149" s="1"/>
      <c r="AH149" s="1"/>
      <c r="AI149" s="1"/>
      <c r="AJ149" s="1"/>
      <c r="AK149" s="1"/>
      <c r="AL149" s="1"/>
      <c r="AM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</row>
    <row r="150" spans="1:58" s="25" customFormat="1" ht="34.5" customHeight="1" x14ac:dyDescent="0.25">
      <c r="A150" s="1"/>
      <c r="B150" s="312" t="str">
        <f>IF($C$1="ENG","Plinth 60 mm","Плінтус 60 мм")</f>
        <v>Плінтус 60 мм</v>
      </c>
      <c r="C150" s="346"/>
      <c r="D150" s="13">
        <f>IF(AC150="","",(1-$W$2)*(AC150/1.2))</f>
        <v>308.33333333333337</v>
      </c>
      <c r="E150" s="66">
        <f>IF($W$5=0.2,D150*1.2,D150)/$W$4</f>
        <v>370.00000000000006</v>
      </c>
      <c r="F150" s="87">
        <f>IF(AD150="","",(1-$W$2)*(AD150/1.2))</f>
        <v>333.33333333333337</v>
      </c>
      <c r="G150" s="66">
        <f>IF($W$5=0.2,F150*1.2,F150)/$W$4</f>
        <v>400.00000000000006</v>
      </c>
      <c r="H150" s="87">
        <f>IF(AE150="","",(1-$W$2)*(AE150/1.2))</f>
        <v>391.66666666666669</v>
      </c>
      <c r="I150" s="66">
        <f>IF($W$5=0.2,H150*1.2,H150)/$W$4</f>
        <v>470</v>
      </c>
      <c r="J150" s="87">
        <f>IF(AF150="","",(1-$W$2)*(AF150/1.2))</f>
        <v>408.33333333333337</v>
      </c>
      <c r="K150" s="66">
        <f>IF($W$5=0.2,J150*1.2,J150)/$W$4</f>
        <v>490</v>
      </c>
      <c r="L150" s="87">
        <f>IF(AG150="","",(1-$W$2)*(AG150/1.2))</f>
        <v>433.33333333333337</v>
      </c>
      <c r="M150" s="66">
        <f>IF($W$5=0.2,L150*1.2,L150)/$W$4</f>
        <v>520</v>
      </c>
      <c r="N150" s="74"/>
      <c r="O150" s="75"/>
      <c r="P150" s="23"/>
      <c r="Q150" s="75"/>
      <c r="R150" s="74"/>
      <c r="S150" s="75"/>
      <c r="T150" s="74"/>
      <c r="U150" s="75"/>
      <c r="V150" s="74"/>
      <c r="W150" s="75"/>
      <c r="X150" s="1"/>
      <c r="Y150" s="1"/>
      <c r="Z150" s="1"/>
      <c r="AA150" s="1"/>
      <c r="AB150" s="1"/>
      <c r="AC150" s="1">
        <v>370</v>
      </c>
      <c r="AD150" s="1">
        <v>400</v>
      </c>
      <c r="AE150" s="1">
        <v>470</v>
      </c>
      <c r="AF150" s="1">
        <v>490</v>
      </c>
      <c r="AG150" s="1">
        <v>520</v>
      </c>
      <c r="AH150" s="129">
        <v>320</v>
      </c>
      <c r="AI150" s="129">
        <f>AH150/AC150-1</f>
        <v>-0.13513513513513509</v>
      </c>
      <c r="AJ150" s="129">
        <v>350</v>
      </c>
      <c r="AK150" s="129">
        <f>AJ150/AD150-1</f>
        <v>-0.125</v>
      </c>
      <c r="AL150" s="129">
        <v>410</v>
      </c>
      <c r="AM150" s="1">
        <f>AL150/AE150-1</f>
        <v>-0.12765957446808507</v>
      </c>
      <c r="AN150" s="129">
        <v>430</v>
      </c>
      <c r="AO150" s="1">
        <f>AN150/AF150-1</f>
        <v>-0.12244897959183676</v>
      </c>
      <c r="AP150" s="129">
        <v>450</v>
      </c>
      <c r="AQ150" s="1">
        <f>AP150/AG150-1</f>
        <v>-0.13461538461538458</v>
      </c>
      <c r="AR150" s="145"/>
      <c r="AS150" s="145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</row>
    <row r="151" spans="1:58" s="25" customFormat="1" ht="34.5" customHeight="1" x14ac:dyDescent="0.25">
      <c r="A151" s="1"/>
      <c r="B151" s="313" t="str">
        <f>IF($C$1="ENG","Plinth 80 mm","Плінтус 80 мм")</f>
        <v>Плінтус 80 мм</v>
      </c>
      <c r="C151" s="347"/>
      <c r="D151" s="20">
        <f>IF(AC151="","",(1-$W$2)*(AC151/1.2))</f>
        <v>341.66666666666669</v>
      </c>
      <c r="E151" s="67">
        <f>IF($W$5=0.2,D151*1.2,D151)/$W$4</f>
        <v>410</v>
      </c>
      <c r="F151" s="88">
        <f>IF(AD151="","",(1-$W$2)*(AD151/1.2))</f>
        <v>408.33333333333337</v>
      </c>
      <c r="G151" s="67">
        <f>IF($W$5=0.2,F151*1.2,F151)/$W$4</f>
        <v>490</v>
      </c>
      <c r="H151" s="88">
        <f>IF(AE151="","",(1-$W$2)*(AE151/1.2))</f>
        <v>433.33333333333337</v>
      </c>
      <c r="I151" s="67">
        <f>IF($W$5=0.2,H151*1.2,H151)/$W$4</f>
        <v>520</v>
      </c>
      <c r="J151" s="88">
        <f>IF(AF151="","",(1-$W$2)*(AF151/1.2))</f>
        <v>491.66666666666669</v>
      </c>
      <c r="K151" s="67">
        <f>IF($W$5=0.2,J151*1.2,J151)/$W$4</f>
        <v>590</v>
      </c>
      <c r="L151" s="88">
        <f>IF(AG151="","",(1-$W$2)*(AG151/1.2))</f>
        <v>550</v>
      </c>
      <c r="M151" s="67">
        <f>IF($W$5=0.2,L151*1.2,L151)/$W$4</f>
        <v>660</v>
      </c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>
        <v>410</v>
      </c>
      <c r="AD151" s="1">
        <v>490</v>
      </c>
      <c r="AE151" s="1">
        <v>520</v>
      </c>
      <c r="AF151" s="1">
        <v>590</v>
      </c>
      <c r="AG151" s="1">
        <v>660</v>
      </c>
      <c r="AH151" s="129">
        <v>360</v>
      </c>
      <c r="AI151" s="129">
        <f>AH151/AC151-1</f>
        <v>-0.12195121951219512</v>
      </c>
      <c r="AJ151" s="129">
        <v>430</v>
      </c>
      <c r="AK151" s="129">
        <f>AJ151/AD151-1</f>
        <v>-0.12244897959183676</v>
      </c>
      <c r="AL151" s="129">
        <v>450</v>
      </c>
      <c r="AM151" s="1">
        <f>AL151/AE151-1</f>
        <v>-0.13461538461538458</v>
      </c>
      <c r="AN151" s="129">
        <v>510</v>
      </c>
      <c r="AO151" s="1">
        <f>AN151/AF151-1</f>
        <v>-0.13559322033898302</v>
      </c>
      <c r="AP151" s="129">
        <v>570</v>
      </c>
      <c r="AQ151" s="1">
        <f>AP151/AG151-1</f>
        <v>-0.13636363636363635</v>
      </c>
      <c r="AR151" s="145"/>
      <c r="AS151" s="145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</row>
    <row r="152" spans="1:58" s="25" customFormat="1" ht="14.25" customHeight="1" x14ac:dyDescent="0.25">
      <c r="A152" s="1"/>
      <c r="B152" s="1"/>
      <c r="C152" s="110"/>
      <c r="D152" s="21"/>
      <c r="E152" s="21"/>
      <c r="F152" s="21"/>
      <c r="G152" s="21"/>
      <c r="H152" s="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</row>
    <row r="153" spans="1:58" s="25" customFormat="1" x14ac:dyDescent="0.25">
      <c r="A153" s="1"/>
      <c r="B153" s="311" t="str">
        <f>IF($C$1="ENG","Orders for skirting plinths are accepted in quantities of 8 pcs.","Замовлення на Плінтус приймаються в кількості від 8 шт.")</f>
        <v>Замовлення на Плінтус приймаються в кількості від 8 шт.</v>
      </c>
      <c r="C153" s="308"/>
      <c r="D153" s="309"/>
      <c r="E153" s="310"/>
      <c r="F153" s="309"/>
      <c r="G153" s="309"/>
      <c r="H153" s="10"/>
      <c r="I153" s="60"/>
      <c r="J153" s="8"/>
      <c r="K153" s="8"/>
      <c r="L153" s="74"/>
      <c r="M153" s="1"/>
      <c r="N153" s="74"/>
      <c r="O153" s="1"/>
      <c r="P153" s="74"/>
      <c r="Q153" s="1"/>
      <c r="R153" s="74"/>
      <c r="S153" s="1"/>
      <c r="T153" s="1"/>
      <c r="U153" s="17"/>
      <c r="V153" s="1"/>
      <c r="W153" s="17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</row>
    <row r="154" spans="1:58" s="25" customFormat="1" ht="14.25" customHeight="1" x14ac:dyDescent="0.25">
      <c r="A154" s="1"/>
      <c r="B154" s="1" t="s">
        <v>58</v>
      </c>
      <c r="C154" s="110"/>
      <c r="D154" s="21"/>
      <c r="E154" s="21"/>
      <c r="F154" s="21"/>
      <c r="G154" s="21"/>
      <c r="H154" s="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341"/>
      <c r="U154" s="341"/>
      <c r="V154" s="341"/>
      <c r="W154" s="341"/>
      <c r="X154" s="139"/>
      <c r="Y154" s="139"/>
      <c r="Z154" s="139"/>
      <c r="AA154" s="139"/>
      <c r="AB154" s="139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</row>
    <row r="155" spans="1:58" s="25" customFormat="1" ht="14.25" customHeight="1" x14ac:dyDescent="0.25">
      <c r="A155" s="1"/>
      <c r="B155" s="1"/>
      <c r="C155" s="110"/>
      <c r="D155" s="21"/>
      <c r="E155" s="21"/>
      <c r="F155" s="21"/>
      <c r="G155" s="21"/>
      <c r="H155" s="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40"/>
      <c r="V155" s="140"/>
      <c r="W155" s="140"/>
      <c r="X155" s="140"/>
      <c r="Y155" s="140"/>
      <c r="Z155" s="140"/>
      <c r="AA155" s="140"/>
      <c r="AB155" s="140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</row>
    <row r="156" spans="1:58" s="25" customFormat="1" ht="14.25" customHeight="1" x14ac:dyDescent="0.25">
      <c r="A156" s="1"/>
      <c r="B156" s="1"/>
      <c r="C156" s="110"/>
      <c r="D156" s="21"/>
      <c r="E156" s="21"/>
      <c r="F156" s="21"/>
      <c r="G156" s="21"/>
      <c r="H156" s="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40"/>
      <c r="V156" s="140"/>
      <c r="W156" s="140"/>
      <c r="X156" s="140"/>
      <c r="Y156" s="140"/>
      <c r="Z156" s="140"/>
      <c r="AA156" s="140"/>
      <c r="AB156" s="140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</row>
    <row r="157" spans="1:58" s="25" customFormat="1" ht="14.25" customHeight="1" x14ac:dyDescent="0.25">
      <c r="A157" s="1"/>
      <c r="B157" s="1"/>
      <c r="C157" s="110"/>
      <c r="D157" s="21"/>
      <c r="E157" s="21"/>
      <c r="F157" s="21"/>
      <c r="G157" s="21"/>
      <c r="H157" s="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</row>
    <row r="158" spans="1:58" s="8" customFormat="1" ht="24.9" customHeight="1" x14ac:dyDescent="0.25">
      <c r="B158" s="246" t="str">
        <f>TITLE!$C$47</f>
        <v>Фрамуги</v>
      </c>
      <c r="C158" s="244"/>
      <c r="D158" s="245"/>
      <c r="E158" s="217"/>
      <c r="F158" s="216"/>
      <c r="G158" s="299"/>
      <c r="H158" s="216"/>
      <c r="I158" s="217"/>
      <c r="J158" s="217"/>
      <c r="K158" s="217"/>
      <c r="L158" s="217"/>
      <c r="M158" s="217"/>
      <c r="N158" s="217"/>
      <c r="O158" s="217"/>
      <c r="P158" s="217"/>
      <c r="Q158" s="217"/>
      <c r="R158" s="217"/>
      <c r="S158" s="217"/>
      <c r="T158" s="217"/>
      <c r="U158" s="217"/>
      <c r="V158" s="217"/>
      <c r="W158" s="217"/>
      <c r="X158" s="185"/>
      <c r="AN158" s="123"/>
      <c r="AO158" s="123"/>
      <c r="AP158" s="123"/>
      <c r="AQ158" s="123"/>
      <c r="AR158" s="123"/>
      <c r="AS158" s="123"/>
      <c r="AT158" s="123"/>
    </row>
    <row r="159" spans="1:58" s="8" customFormat="1" ht="5.0999999999999996" customHeight="1" x14ac:dyDescent="0.25">
      <c r="C159" s="163"/>
      <c r="L159" s="33"/>
      <c r="M159" s="33"/>
      <c r="N159" s="33"/>
      <c r="O159" s="33"/>
      <c r="P159" s="33"/>
      <c r="Q159" s="33"/>
      <c r="R159" s="33"/>
      <c r="S159" s="33"/>
      <c r="T159" s="82"/>
      <c r="U159" s="82"/>
      <c r="V159" s="82"/>
      <c r="W159" s="82"/>
      <c r="AC159" s="1"/>
      <c r="AE159" s="1"/>
      <c r="AG159" s="1"/>
      <c r="AI159" s="1"/>
      <c r="AK159" s="1"/>
      <c r="AN159" s="123"/>
      <c r="AO159" s="123"/>
      <c r="AP159" s="123"/>
      <c r="AQ159" s="123"/>
      <c r="AR159" s="123"/>
      <c r="AS159" s="123"/>
      <c r="AT159" s="123"/>
    </row>
    <row r="160" spans="1:58" x14ac:dyDescent="0.25">
      <c r="A160" s="8"/>
      <c r="B160" s="283" t="str">
        <f>IF($C$1="ENG","model","модель")</f>
        <v>модель</v>
      </c>
      <c r="C160" s="85" t="str">
        <f>IF($C$1="ENG","cover:","покриття:")</f>
        <v>покриття:</v>
      </c>
      <c r="D160" s="344" t="str">
        <f>IF($C$1="ENG","SIMPL / V-CELL ","SIMPL / V-CELL / V-C Plus")</f>
        <v>SIMPL / V-CELL / V-C Plus</v>
      </c>
      <c r="E160" s="345"/>
      <c r="F160" s="344" t="str">
        <f>IF($C$1="ENG","UNI-MAT","UNI-MAT")</f>
        <v>UNI-MAT</v>
      </c>
      <c r="G160" s="345"/>
      <c r="H160" s="344" t="str">
        <f>IF($C$1="ENG","RESIST","RESIST")</f>
        <v>RESIST</v>
      </c>
      <c r="I160" s="345"/>
      <c r="J160" s="344" t="str">
        <f>IF($C$1="ENG","Verto LINE-3D","Verto LINE-3D")</f>
        <v>Verto LINE-3D</v>
      </c>
      <c r="K160" s="345"/>
      <c r="L160" s="344" t="str">
        <f>IF($C$1="ENG","Premium / LOFT","Premium/ LOFT")</f>
        <v>Premium/ LOFT</v>
      </c>
      <c r="M160" s="345"/>
      <c r="N160" s="32"/>
      <c r="O160" s="32"/>
      <c r="P160" s="32"/>
      <c r="Q160" s="32"/>
      <c r="R160" s="32"/>
      <c r="S160" s="32"/>
      <c r="AC160" s="148">
        <v>0.1</v>
      </c>
    </row>
    <row r="161" spans="1:46" ht="12.75" customHeight="1" x14ac:dyDescent="0.25">
      <c r="A161" s="8"/>
      <c r="B161" s="284"/>
      <c r="C161" s="86" t="str">
        <f>IF($C$1="ENG","type:","виконання:")</f>
        <v>виконання:</v>
      </c>
      <c r="D161" s="342" t="str">
        <f>IF($C$1="ENG","for 1 meter","за 1 пг.м")</f>
        <v>за 1 пг.м</v>
      </c>
      <c r="E161" s="343"/>
      <c r="F161" s="342" t="str">
        <f>IF($C$1="ENG","for 1 meter","за 1 пг.м")</f>
        <v>за 1 пг.м</v>
      </c>
      <c r="G161" s="343"/>
      <c r="H161" s="342" t="str">
        <f>IF($C$1="ENG","for 1 meter","за 1 пг.м")</f>
        <v>за 1 пг.м</v>
      </c>
      <c r="I161" s="343"/>
      <c r="J161" s="342" t="str">
        <f>IF($C$1="ENG","for 1 meter","за 1 пг.м")</f>
        <v>за 1 пг.м</v>
      </c>
      <c r="K161" s="343"/>
      <c r="L161" s="342" t="str">
        <f>IF($C$1="ENG","for 1 meter","за 1 пг.м")</f>
        <v>за 1 пг.м</v>
      </c>
      <c r="M161" s="343"/>
      <c r="N161" s="32"/>
      <c r="O161" s="32"/>
      <c r="P161" s="32"/>
      <c r="Q161" s="32"/>
      <c r="R161" s="32"/>
      <c r="S161" s="32"/>
      <c r="AN161" s="25">
        <v>0.15</v>
      </c>
    </row>
    <row r="162" spans="1:46" s="33" customFormat="1" ht="24.75" customHeight="1" x14ac:dyDescent="0.25">
      <c r="B162" s="36" t="str">
        <f>IF($C$1="ENG","TRANSOM STANDART","ФРАМУГА STANDART")</f>
        <v>ФРАМУГА STANDART</v>
      </c>
      <c r="C162" s="164"/>
      <c r="D162" s="23"/>
      <c r="E162" s="24"/>
      <c r="F162" s="23"/>
      <c r="G162" s="24"/>
      <c r="H162" s="24"/>
      <c r="I162" s="24"/>
      <c r="J162" s="24"/>
      <c r="K162" s="24"/>
      <c r="L162" s="24"/>
      <c r="M162" s="24"/>
      <c r="N162" s="24"/>
      <c r="O162" s="24"/>
      <c r="P162" s="23"/>
      <c r="Q162" s="24"/>
      <c r="R162" s="24"/>
      <c r="S162" s="24"/>
      <c r="T162" s="35"/>
      <c r="U162" s="25"/>
      <c r="W162" s="25"/>
      <c r="AE162" s="33">
        <v>1.1499999999999999</v>
      </c>
      <c r="AN162" s="37"/>
      <c r="AO162" s="37"/>
      <c r="AP162" s="37"/>
      <c r="AQ162" s="37"/>
      <c r="AR162" s="37"/>
      <c r="AS162" s="37"/>
      <c r="AT162" s="37"/>
    </row>
    <row r="163" spans="1:46" ht="34.5" customHeight="1" x14ac:dyDescent="0.25">
      <c r="A163" s="8"/>
      <c r="B163" s="121" t="str">
        <f>IF($C$1="ENG","Transom wood 80 mm","Фрамуга дерево 80 мм")</f>
        <v>Фрамуга дерево 80 мм</v>
      </c>
      <c r="C163" s="142"/>
      <c r="D163" s="34">
        <f>IF(AC163="","",(1-$W$2)*(AC163/1.2))</f>
        <v>716.66666666666674</v>
      </c>
      <c r="E163" s="61">
        <f>IF($W$5=0.2,D163*1.2,D163)/$W$4</f>
        <v>860.00000000000011</v>
      </c>
      <c r="F163" s="34">
        <f>IF(AD163="","",(1-$W$2)*(AD163/1.2))</f>
        <v>800</v>
      </c>
      <c r="G163" s="61">
        <f>IF($W$5=0.2,F163*1.2,F163)/$W$4</f>
        <v>960</v>
      </c>
      <c r="H163" s="34">
        <f>IF(AE163="","",(1-$W$2)*(AE163/1.2))</f>
        <v>841.66666666666674</v>
      </c>
      <c r="I163" s="61">
        <f>IF($W$5=0.2,H163*1.2,H163)/$W$4</f>
        <v>1010</v>
      </c>
      <c r="J163" s="34">
        <f>IF(AF163="","",(1-$W$2)*(AF163/1.2))</f>
        <v>916.66666666666674</v>
      </c>
      <c r="K163" s="61">
        <f>IF($W$5=0.2,J163*1.2,J163)/$W$4</f>
        <v>1100</v>
      </c>
      <c r="L163" s="34">
        <f>IF(AG163="","",(1-$W$2)*(AG163/1.2))</f>
        <v>1016.6666666666667</v>
      </c>
      <c r="M163" s="61">
        <f>IF($W$5=0.2,L163*1.2,L163)/$W$4</f>
        <v>1220</v>
      </c>
      <c r="N163" s="74"/>
      <c r="O163" s="75"/>
      <c r="P163" s="23"/>
      <c r="Q163" s="75"/>
      <c r="R163" s="74"/>
      <c r="S163" s="75"/>
      <c r="T163" s="74"/>
      <c r="U163" s="75"/>
      <c r="V163" s="74"/>
      <c r="W163" s="75"/>
      <c r="X163" s="18"/>
      <c r="Y163" s="18"/>
      <c r="Z163" s="18"/>
      <c r="AA163" s="18"/>
      <c r="AB163" s="18"/>
      <c r="AC163" s="330">
        <v>860</v>
      </c>
      <c r="AD163" s="330">
        <v>960</v>
      </c>
      <c r="AE163" s="330">
        <v>1010</v>
      </c>
      <c r="AF163" s="330">
        <v>1100</v>
      </c>
      <c r="AG163" s="330">
        <v>1220</v>
      </c>
      <c r="AH163" s="1">
        <v>750</v>
      </c>
      <c r="AI163" s="1">
        <f>AH163/AC163-1</f>
        <v>-0.12790697674418605</v>
      </c>
      <c r="AJ163" s="1">
        <v>840</v>
      </c>
      <c r="AK163" s="1">
        <f>AJ163/AD163-1</f>
        <v>-0.125</v>
      </c>
      <c r="AL163" s="1">
        <v>880</v>
      </c>
      <c r="AM163" s="1">
        <f>AL163/AE163-1</f>
        <v>-0.12871287128712872</v>
      </c>
      <c r="AN163" s="1">
        <v>960</v>
      </c>
      <c r="AO163" s="1">
        <f>AN163/AF163-1</f>
        <v>-0.12727272727272732</v>
      </c>
      <c r="AP163" s="1">
        <v>1060</v>
      </c>
      <c r="AQ163" s="1">
        <f>AP163/AG163-1</f>
        <v>-0.13114754098360659</v>
      </c>
      <c r="AR163" s="145"/>
      <c r="AS163" s="145"/>
    </row>
    <row r="164" spans="1:46" s="33" customFormat="1" ht="24.75" customHeight="1" x14ac:dyDescent="0.25">
      <c r="B164" s="36" t="str">
        <f>IF($C$1="ENG","TRANSOM VERTO-FIT","ФРАМУГА VERTO-FIT")</f>
        <v>ФРАМУГА VERTO-FIT</v>
      </c>
      <c r="C164" s="164"/>
      <c r="D164" s="23"/>
      <c r="E164" s="39"/>
      <c r="F164" s="23"/>
      <c r="G164" s="39"/>
      <c r="H164" s="23"/>
      <c r="I164" s="24"/>
      <c r="J164" s="95"/>
      <c r="K164" s="96"/>
      <c r="L164" s="95"/>
      <c r="M164" s="96"/>
      <c r="N164" s="23"/>
      <c r="O164" s="24"/>
      <c r="P164" s="23"/>
      <c r="Q164" s="24"/>
      <c r="R164" s="23"/>
      <c r="S164" s="24"/>
      <c r="T164" s="24"/>
      <c r="U164" s="24"/>
      <c r="W164" s="24"/>
      <c r="AC164" s="330">
        <v>0</v>
      </c>
      <c r="AD164" s="330">
        <v>0</v>
      </c>
      <c r="AE164" s="330">
        <v>0</v>
      </c>
      <c r="AF164" s="330">
        <v>0</v>
      </c>
      <c r="AG164" s="330">
        <v>0</v>
      </c>
      <c r="AN164" s="37"/>
      <c r="AO164" s="37"/>
      <c r="AP164" s="37"/>
      <c r="AQ164" s="37"/>
      <c r="AR164" s="37"/>
      <c r="AS164" s="37"/>
      <c r="AT164" s="37"/>
    </row>
    <row r="165" spans="1:46" x14ac:dyDescent="0.25">
      <c r="A165" s="8"/>
      <c r="B165" s="12" t="str">
        <f>IF($C$1="ENG","A (75 - 95 mm)","A (75 - 95 мм)")</f>
        <v>A (75 - 95 мм)</v>
      </c>
      <c r="C165" s="304"/>
      <c r="D165" s="13">
        <f t="shared" ref="D165:D174" si="83">IF(AC165="","",(1-$W$2)*(AC165/1.2))</f>
        <v>941.66666666666674</v>
      </c>
      <c r="E165" s="43">
        <f t="shared" ref="E165:E174" si="84">IF($W$5=0.2,D165*1.2,D165)/$W$4</f>
        <v>1130</v>
      </c>
      <c r="F165" s="13">
        <f t="shared" ref="F165:F174" si="85">IF(AD165="","",(1-$W$2)*(AD165/1.2))</f>
        <v>1083.3333333333335</v>
      </c>
      <c r="G165" s="43">
        <f t="shared" ref="G165:G174" si="86">IF($W$5=0.2,F165*1.2,F165)/$W$4</f>
        <v>1300.0000000000002</v>
      </c>
      <c r="H165" s="13">
        <f t="shared" ref="H165:H174" si="87">IF(AE165="","",(1-$W$2)*(AE165/1.2))</f>
        <v>1141.6666666666667</v>
      </c>
      <c r="I165" s="43">
        <f t="shared" ref="I165:I174" si="88">IF($W$5=0.2,H165*1.2,H165)/$W$4</f>
        <v>1370</v>
      </c>
      <c r="J165" s="13">
        <f t="shared" ref="J165:J174" si="89">IF(AF165="","",(1-$W$2)*(AF165/1.2))</f>
        <v>1208.3333333333335</v>
      </c>
      <c r="K165" s="43">
        <f t="shared" ref="K165:K174" si="90">IF($W$5=0.2,J165*1.2,J165)/$W$4</f>
        <v>1450.0000000000002</v>
      </c>
      <c r="L165" s="13">
        <f t="shared" ref="L165:L174" si="91">IF(AG165="","",(1-$W$2)*(AG165/1.2))</f>
        <v>1291.6666666666667</v>
      </c>
      <c r="M165" s="43">
        <f t="shared" ref="M165:M174" si="92">IF($W$5=0.2,L165*1.2,L165)/$W$4</f>
        <v>1550</v>
      </c>
      <c r="N165" s="74"/>
      <c r="O165" s="75"/>
      <c r="P165" s="23"/>
      <c r="Q165" s="74"/>
      <c r="R165" s="74"/>
      <c r="S165" s="75"/>
      <c r="T165" s="74"/>
      <c r="U165" s="75"/>
      <c r="V165" s="74"/>
      <c r="W165" s="75"/>
      <c r="X165" s="74"/>
      <c r="Y165" s="74"/>
      <c r="Z165" s="74"/>
      <c r="AA165" s="74"/>
      <c r="AB165" s="74"/>
      <c r="AC165" s="330">
        <v>1130</v>
      </c>
      <c r="AD165" s="330">
        <v>1300</v>
      </c>
      <c r="AE165" s="330">
        <v>1370</v>
      </c>
      <c r="AF165" s="330">
        <v>1450</v>
      </c>
      <c r="AG165" s="330">
        <v>1550</v>
      </c>
      <c r="AH165" s="129">
        <v>980</v>
      </c>
      <c r="AI165" s="129">
        <f>AH165/AC165-1</f>
        <v>-0.13274336283185839</v>
      </c>
      <c r="AJ165" s="129">
        <v>1130</v>
      </c>
      <c r="AK165" s="129">
        <f>AJ165/AD165-1</f>
        <v>-0.13076923076923075</v>
      </c>
      <c r="AL165" s="129">
        <v>1190</v>
      </c>
      <c r="AM165" s="1">
        <f>AL165/AE165-1</f>
        <v>-0.13138686131386856</v>
      </c>
      <c r="AN165" s="25">
        <v>1260</v>
      </c>
      <c r="AO165" s="1">
        <f>AN165/AF165-1</f>
        <v>-0.13103448275862073</v>
      </c>
      <c r="AP165" s="1">
        <v>1350</v>
      </c>
      <c r="AQ165" s="1">
        <f>AP165/AG165-1</f>
        <v>-0.12903225806451613</v>
      </c>
      <c r="AR165" s="145"/>
      <c r="AS165" s="145"/>
    </row>
    <row r="166" spans="1:46" x14ac:dyDescent="0.25">
      <c r="A166" s="8"/>
      <c r="B166" s="14" t="str">
        <f>IF($C$1="ENG","B (95 - 115 mm)","B (95 - 115 мм)")</f>
        <v>B (95 - 115 мм)</v>
      </c>
      <c r="C166" s="305"/>
      <c r="D166" s="15">
        <f t="shared" si="83"/>
        <v>1016.6666666666667</v>
      </c>
      <c r="E166" s="45">
        <f t="shared" si="84"/>
        <v>1220</v>
      </c>
      <c r="F166" s="15">
        <f t="shared" si="85"/>
        <v>1166.6666666666667</v>
      </c>
      <c r="G166" s="45">
        <f t="shared" si="86"/>
        <v>1400</v>
      </c>
      <c r="H166" s="15">
        <f t="shared" si="87"/>
        <v>1258.3333333333335</v>
      </c>
      <c r="I166" s="45">
        <f t="shared" si="88"/>
        <v>1510.0000000000002</v>
      </c>
      <c r="J166" s="15">
        <f t="shared" si="89"/>
        <v>1316.6666666666667</v>
      </c>
      <c r="K166" s="45">
        <f t="shared" si="90"/>
        <v>1580</v>
      </c>
      <c r="L166" s="15">
        <f t="shared" si="91"/>
        <v>1416.6666666666667</v>
      </c>
      <c r="M166" s="45">
        <f t="shared" si="92"/>
        <v>1700</v>
      </c>
      <c r="N166" s="74"/>
      <c r="O166" s="75"/>
      <c r="P166" s="23"/>
      <c r="Q166" s="74"/>
      <c r="R166" s="74"/>
      <c r="S166" s="75"/>
      <c r="T166" s="74"/>
      <c r="U166" s="75"/>
      <c r="V166" s="74"/>
      <c r="W166" s="75"/>
      <c r="X166" s="74"/>
      <c r="Y166" s="74"/>
      <c r="Z166" s="74"/>
      <c r="AA166" s="74"/>
      <c r="AB166" s="74"/>
      <c r="AC166" s="330">
        <v>1220</v>
      </c>
      <c r="AD166" s="330">
        <v>1400</v>
      </c>
      <c r="AE166" s="330">
        <v>1510</v>
      </c>
      <c r="AF166" s="330">
        <v>1580</v>
      </c>
      <c r="AG166" s="330">
        <v>1700</v>
      </c>
      <c r="AH166" s="129">
        <v>1060</v>
      </c>
      <c r="AI166" s="129">
        <f t="shared" ref="AI166:AI174" si="93">AH166/AC166-1</f>
        <v>-0.13114754098360659</v>
      </c>
      <c r="AJ166" s="129">
        <v>1220</v>
      </c>
      <c r="AK166" s="129">
        <f t="shared" ref="AK166:AK174" si="94">AJ166/AD166-1</f>
        <v>-0.12857142857142856</v>
      </c>
      <c r="AL166" s="129">
        <v>1310</v>
      </c>
      <c r="AM166" s="1">
        <f t="shared" ref="AM166:AM174" si="95">AL166/AE166-1</f>
        <v>-0.13245033112582782</v>
      </c>
      <c r="AN166" s="25">
        <v>1370</v>
      </c>
      <c r="AO166" s="1">
        <f t="shared" ref="AO166:AO174" si="96">AN166/AF166-1</f>
        <v>-0.13291139240506333</v>
      </c>
      <c r="AP166" s="1">
        <v>1480</v>
      </c>
      <c r="AQ166" s="1">
        <f t="shared" ref="AQ166:AQ174" si="97">AP166/AG166-1</f>
        <v>-0.12941176470588234</v>
      </c>
      <c r="AR166" s="145"/>
    </row>
    <row r="167" spans="1:46" x14ac:dyDescent="0.25">
      <c r="A167" s="8"/>
      <c r="B167" s="14" t="str">
        <f>IF($C$1="ENG","B+ 100 - 120 mm)","B+ (100 - 120 мм)")</f>
        <v>B+ (100 - 120 мм)</v>
      </c>
      <c r="C167" s="305"/>
      <c r="D167" s="15">
        <f t="shared" si="83"/>
        <v>1058.3333333333335</v>
      </c>
      <c r="E167" s="45">
        <f t="shared" si="84"/>
        <v>1270.0000000000002</v>
      </c>
      <c r="F167" s="15">
        <f t="shared" si="85"/>
        <v>1216.6666666666667</v>
      </c>
      <c r="G167" s="45">
        <f t="shared" si="86"/>
        <v>1460</v>
      </c>
      <c r="H167" s="15">
        <f t="shared" si="87"/>
        <v>1300</v>
      </c>
      <c r="I167" s="45">
        <f t="shared" si="88"/>
        <v>1560</v>
      </c>
      <c r="J167" s="15">
        <f t="shared" si="89"/>
        <v>1366.6666666666667</v>
      </c>
      <c r="K167" s="45">
        <f t="shared" si="90"/>
        <v>1640</v>
      </c>
      <c r="L167" s="15">
        <f t="shared" si="91"/>
        <v>1483.3333333333335</v>
      </c>
      <c r="M167" s="45">
        <f t="shared" si="92"/>
        <v>1780.0000000000002</v>
      </c>
      <c r="N167" s="74"/>
      <c r="O167" s="75"/>
      <c r="P167" s="23"/>
      <c r="Q167" s="74"/>
      <c r="R167" s="74"/>
      <c r="S167" s="75"/>
      <c r="T167" s="74"/>
      <c r="U167" s="75"/>
      <c r="V167" s="74"/>
      <c r="W167" s="75"/>
      <c r="X167" s="74"/>
      <c r="Y167" s="74"/>
      <c r="Z167" s="74"/>
      <c r="AA167" s="74"/>
      <c r="AB167" s="74"/>
      <c r="AC167" s="330">
        <v>1270</v>
      </c>
      <c r="AD167" s="330">
        <v>1460</v>
      </c>
      <c r="AE167" s="330">
        <v>1560</v>
      </c>
      <c r="AF167" s="330">
        <v>1640</v>
      </c>
      <c r="AG167" s="330">
        <v>1780</v>
      </c>
      <c r="AH167" s="129">
        <v>1100</v>
      </c>
      <c r="AI167" s="129">
        <f t="shared" si="93"/>
        <v>-0.13385826771653542</v>
      </c>
      <c r="AJ167" s="129">
        <v>1270</v>
      </c>
      <c r="AK167" s="129">
        <f t="shared" si="94"/>
        <v>-0.13013698630136983</v>
      </c>
      <c r="AL167" s="129">
        <v>1360</v>
      </c>
      <c r="AM167" s="1">
        <f t="shared" si="95"/>
        <v>-0.12820512820512819</v>
      </c>
      <c r="AN167" s="25">
        <v>1430</v>
      </c>
      <c r="AO167" s="1">
        <f t="shared" si="96"/>
        <v>-0.12804878048780488</v>
      </c>
      <c r="AP167" s="1">
        <v>1550</v>
      </c>
      <c r="AQ167" s="1">
        <f t="shared" si="97"/>
        <v>-0.1292134831460674</v>
      </c>
      <c r="AR167" s="145"/>
    </row>
    <row r="168" spans="1:46" x14ac:dyDescent="0.25">
      <c r="A168" s="8"/>
      <c r="B168" s="14" t="str">
        <f>IF($C$1="ENG","C (120 - 140 mm)","C (120 - 140 мм)")</f>
        <v>C (120 - 140 мм)</v>
      </c>
      <c r="C168" s="305"/>
      <c r="D168" s="15">
        <f t="shared" si="83"/>
        <v>1100</v>
      </c>
      <c r="E168" s="45">
        <f t="shared" si="84"/>
        <v>1320</v>
      </c>
      <c r="F168" s="15">
        <f t="shared" si="85"/>
        <v>1266.6666666666667</v>
      </c>
      <c r="G168" s="45">
        <f t="shared" si="86"/>
        <v>1520</v>
      </c>
      <c r="H168" s="15">
        <f t="shared" si="87"/>
        <v>1350</v>
      </c>
      <c r="I168" s="45">
        <f t="shared" si="88"/>
        <v>1620</v>
      </c>
      <c r="J168" s="15">
        <f t="shared" si="89"/>
        <v>1425</v>
      </c>
      <c r="K168" s="45">
        <f t="shared" si="90"/>
        <v>1710</v>
      </c>
      <c r="L168" s="15">
        <f t="shared" si="91"/>
        <v>1525</v>
      </c>
      <c r="M168" s="45">
        <f t="shared" si="92"/>
        <v>1830</v>
      </c>
      <c r="N168" s="74"/>
      <c r="O168" s="75"/>
      <c r="P168" s="23"/>
      <c r="Q168" s="74"/>
      <c r="R168" s="74"/>
      <c r="S168" s="75"/>
      <c r="T168" s="74"/>
      <c r="U168" s="75"/>
      <c r="V168" s="74"/>
      <c r="W168" s="75"/>
      <c r="X168" s="74"/>
      <c r="Y168" s="74"/>
      <c r="Z168" s="74"/>
      <c r="AA168" s="74"/>
      <c r="AB168" s="74"/>
      <c r="AC168" s="330">
        <v>1320</v>
      </c>
      <c r="AD168" s="330">
        <v>1520</v>
      </c>
      <c r="AE168" s="330">
        <v>1620</v>
      </c>
      <c r="AF168" s="330">
        <v>1710</v>
      </c>
      <c r="AG168" s="330">
        <v>1830</v>
      </c>
      <c r="AH168" s="129">
        <v>1150</v>
      </c>
      <c r="AI168" s="129">
        <f t="shared" si="93"/>
        <v>-0.12878787878787878</v>
      </c>
      <c r="AJ168" s="129">
        <v>1320</v>
      </c>
      <c r="AK168" s="129">
        <f t="shared" si="94"/>
        <v>-0.13157894736842102</v>
      </c>
      <c r="AL168" s="129">
        <v>1410</v>
      </c>
      <c r="AM168" s="1">
        <f t="shared" si="95"/>
        <v>-0.12962962962962965</v>
      </c>
      <c r="AN168" s="25">
        <v>1490</v>
      </c>
      <c r="AO168" s="1">
        <f t="shared" si="96"/>
        <v>-0.12865497076023391</v>
      </c>
      <c r="AP168" s="1">
        <v>1590</v>
      </c>
      <c r="AQ168" s="1">
        <f t="shared" si="97"/>
        <v>-0.13114754098360659</v>
      </c>
      <c r="AR168" s="145"/>
    </row>
    <row r="169" spans="1:46" x14ac:dyDescent="0.25">
      <c r="A169" s="8"/>
      <c r="B169" s="14" t="str">
        <f>IF($C$1="ENG","D (140 - 160 mm)","D (140 - 160 мм)")</f>
        <v>D (140 - 160 мм)</v>
      </c>
      <c r="C169" s="305"/>
      <c r="D169" s="15">
        <f t="shared" si="83"/>
        <v>1175</v>
      </c>
      <c r="E169" s="45">
        <f t="shared" si="84"/>
        <v>1410</v>
      </c>
      <c r="F169" s="15">
        <f t="shared" si="85"/>
        <v>1350</v>
      </c>
      <c r="G169" s="45">
        <f t="shared" si="86"/>
        <v>1620</v>
      </c>
      <c r="H169" s="15">
        <f t="shared" si="87"/>
        <v>1466.6666666666667</v>
      </c>
      <c r="I169" s="45">
        <f t="shared" si="88"/>
        <v>1760</v>
      </c>
      <c r="J169" s="15">
        <f t="shared" si="89"/>
        <v>1541.6666666666667</v>
      </c>
      <c r="K169" s="45">
        <f t="shared" si="90"/>
        <v>1850</v>
      </c>
      <c r="L169" s="15">
        <f t="shared" si="91"/>
        <v>1658.3333333333335</v>
      </c>
      <c r="M169" s="45">
        <f t="shared" si="92"/>
        <v>1990</v>
      </c>
      <c r="N169" s="74"/>
      <c r="O169" s="75"/>
      <c r="P169" s="23"/>
      <c r="Q169" s="74"/>
      <c r="R169" s="74"/>
      <c r="S169" s="75"/>
      <c r="T169" s="74"/>
      <c r="U169" s="75"/>
      <c r="V169" s="74"/>
      <c r="W169" s="75"/>
      <c r="X169" s="74"/>
      <c r="Y169" s="74"/>
      <c r="Z169" s="74"/>
      <c r="AA169" s="74"/>
      <c r="AB169" s="74"/>
      <c r="AC169" s="330">
        <v>1410</v>
      </c>
      <c r="AD169" s="330">
        <v>1620</v>
      </c>
      <c r="AE169" s="330">
        <v>1760</v>
      </c>
      <c r="AF169" s="330">
        <v>1850</v>
      </c>
      <c r="AG169" s="330">
        <v>1990</v>
      </c>
      <c r="AH169" s="129">
        <v>1230</v>
      </c>
      <c r="AI169" s="129">
        <f t="shared" si="93"/>
        <v>-0.12765957446808507</v>
      </c>
      <c r="AJ169" s="129">
        <v>1410</v>
      </c>
      <c r="AK169" s="129">
        <f t="shared" si="94"/>
        <v>-0.12962962962962965</v>
      </c>
      <c r="AL169" s="129">
        <v>1530</v>
      </c>
      <c r="AM169" s="1">
        <f t="shared" si="95"/>
        <v>-0.13068181818181823</v>
      </c>
      <c r="AN169" s="25">
        <v>1610</v>
      </c>
      <c r="AO169" s="1">
        <f t="shared" si="96"/>
        <v>-0.12972972972972974</v>
      </c>
      <c r="AP169" s="1">
        <v>1730</v>
      </c>
      <c r="AQ169" s="1">
        <f t="shared" si="97"/>
        <v>-0.1306532663316583</v>
      </c>
      <c r="AR169" s="145"/>
    </row>
    <row r="170" spans="1:46" x14ac:dyDescent="0.25">
      <c r="A170" s="8"/>
      <c r="B170" s="14" t="str">
        <f>IF($C$1="ENG","E (160 - 180 mm)","E (160 - 180 мм)")</f>
        <v>E (160 - 180 мм)</v>
      </c>
      <c r="C170" s="305"/>
      <c r="D170" s="15">
        <f t="shared" si="83"/>
        <v>1266.6666666666667</v>
      </c>
      <c r="E170" s="45">
        <f t="shared" si="84"/>
        <v>1520</v>
      </c>
      <c r="F170" s="15">
        <f t="shared" si="85"/>
        <v>1466.6666666666667</v>
      </c>
      <c r="G170" s="45">
        <f t="shared" si="86"/>
        <v>1760</v>
      </c>
      <c r="H170" s="15">
        <f t="shared" si="87"/>
        <v>1583.3333333333335</v>
      </c>
      <c r="I170" s="45">
        <f t="shared" si="88"/>
        <v>1900</v>
      </c>
      <c r="J170" s="15">
        <f t="shared" si="89"/>
        <v>1650</v>
      </c>
      <c r="K170" s="45">
        <f t="shared" si="90"/>
        <v>1980</v>
      </c>
      <c r="L170" s="15">
        <f t="shared" si="91"/>
        <v>1775</v>
      </c>
      <c r="M170" s="45">
        <f t="shared" si="92"/>
        <v>2130</v>
      </c>
      <c r="N170" s="74"/>
      <c r="O170" s="75"/>
      <c r="P170" s="23"/>
      <c r="Q170" s="74"/>
      <c r="R170" s="74"/>
      <c r="S170" s="75"/>
      <c r="T170" s="74"/>
      <c r="U170" s="75"/>
      <c r="V170" s="74"/>
      <c r="W170" s="75"/>
      <c r="X170" s="74"/>
      <c r="Y170" s="74"/>
      <c r="Z170" s="74"/>
      <c r="AA170" s="74"/>
      <c r="AB170" s="74"/>
      <c r="AC170" s="330">
        <v>1520</v>
      </c>
      <c r="AD170" s="330">
        <v>1760</v>
      </c>
      <c r="AE170" s="330">
        <v>1900</v>
      </c>
      <c r="AF170" s="330">
        <v>1980</v>
      </c>
      <c r="AG170" s="330">
        <v>2130</v>
      </c>
      <c r="AH170" s="129">
        <v>1322</v>
      </c>
      <c r="AI170" s="129">
        <f t="shared" si="93"/>
        <v>-0.13026315789473686</v>
      </c>
      <c r="AJ170" s="129">
        <v>1530</v>
      </c>
      <c r="AK170" s="129">
        <f t="shared" si="94"/>
        <v>-0.13068181818181823</v>
      </c>
      <c r="AL170" s="129">
        <v>1650</v>
      </c>
      <c r="AM170" s="1">
        <f t="shared" si="95"/>
        <v>-0.13157894736842102</v>
      </c>
      <c r="AN170" s="25">
        <v>1720</v>
      </c>
      <c r="AO170" s="1">
        <f t="shared" si="96"/>
        <v>-0.13131313131313127</v>
      </c>
      <c r="AP170" s="1">
        <v>1850</v>
      </c>
      <c r="AQ170" s="1">
        <f t="shared" si="97"/>
        <v>-0.13145539906103287</v>
      </c>
      <c r="AR170" s="145"/>
    </row>
    <row r="171" spans="1:46" x14ac:dyDescent="0.25">
      <c r="A171" s="8"/>
      <c r="B171" s="14" t="str">
        <f>IF($C$1="ENG","F (180 - 200 mm)","F (180 - 200 мм)")</f>
        <v>F (180 - 200 мм)</v>
      </c>
      <c r="C171" s="305"/>
      <c r="D171" s="15">
        <f t="shared" si="83"/>
        <v>1341.6666666666665</v>
      </c>
      <c r="E171" s="45">
        <f t="shared" si="84"/>
        <v>1609.9999999999998</v>
      </c>
      <c r="F171" s="15">
        <f t="shared" si="85"/>
        <v>1558.3333333333335</v>
      </c>
      <c r="G171" s="45">
        <f t="shared" si="86"/>
        <v>1870</v>
      </c>
      <c r="H171" s="15">
        <f t="shared" si="87"/>
        <v>1675</v>
      </c>
      <c r="I171" s="45">
        <f t="shared" si="88"/>
        <v>2010</v>
      </c>
      <c r="J171" s="15">
        <f t="shared" si="89"/>
        <v>1750</v>
      </c>
      <c r="K171" s="45">
        <f t="shared" si="90"/>
        <v>2100</v>
      </c>
      <c r="L171" s="15">
        <f t="shared" si="91"/>
        <v>1900</v>
      </c>
      <c r="M171" s="45">
        <f t="shared" si="92"/>
        <v>2280</v>
      </c>
      <c r="N171" s="74"/>
      <c r="O171" s="75"/>
      <c r="P171" s="23"/>
      <c r="Q171" s="74"/>
      <c r="R171" s="74"/>
      <c r="S171" s="75"/>
      <c r="T171" s="74"/>
      <c r="U171" s="75"/>
      <c r="V171" s="74"/>
      <c r="W171" s="75"/>
      <c r="X171" s="74"/>
      <c r="Y171" s="74"/>
      <c r="Z171" s="74"/>
      <c r="AA171" s="74"/>
      <c r="AB171" s="74"/>
      <c r="AC171" s="330">
        <v>1609.9999999999998</v>
      </c>
      <c r="AD171" s="330">
        <v>1870</v>
      </c>
      <c r="AE171" s="330">
        <v>2010</v>
      </c>
      <c r="AF171" s="330">
        <v>2100</v>
      </c>
      <c r="AG171" s="330">
        <v>2280</v>
      </c>
      <c r="AH171" s="129">
        <v>1400</v>
      </c>
      <c r="AI171" s="129">
        <f t="shared" si="93"/>
        <v>-0.13043478260869557</v>
      </c>
      <c r="AJ171" s="129">
        <v>1630</v>
      </c>
      <c r="AK171" s="129">
        <f t="shared" si="94"/>
        <v>-0.12834224598930477</v>
      </c>
      <c r="AL171" s="129">
        <v>1750</v>
      </c>
      <c r="AM171" s="1">
        <f t="shared" si="95"/>
        <v>-0.12935323383084574</v>
      </c>
      <c r="AN171" s="25">
        <v>1830</v>
      </c>
      <c r="AO171" s="1">
        <f t="shared" si="96"/>
        <v>-0.12857142857142856</v>
      </c>
      <c r="AP171" s="1">
        <v>1980</v>
      </c>
      <c r="AQ171" s="1">
        <f t="shared" si="97"/>
        <v>-0.13157894736842102</v>
      </c>
      <c r="AR171" s="145"/>
    </row>
    <row r="172" spans="1:46" x14ac:dyDescent="0.25">
      <c r="A172" s="8"/>
      <c r="B172" s="14" t="str">
        <f>IF($C$1="ENG","G (200 - 220 mm)","G (200 - 220 мм)")</f>
        <v>G (200 - 220 мм)</v>
      </c>
      <c r="C172" s="305"/>
      <c r="D172" s="15">
        <f t="shared" si="83"/>
        <v>1425</v>
      </c>
      <c r="E172" s="45">
        <f t="shared" si="84"/>
        <v>1710</v>
      </c>
      <c r="F172" s="15">
        <f t="shared" si="85"/>
        <v>1650</v>
      </c>
      <c r="G172" s="45">
        <f t="shared" si="86"/>
        <v>1980</v>
      </c>
      <c r="H172" s="15">
        <f t="shared" si="87"/>
        <v>1800</v>
      </c>
      <c r="I172" s="45">
        <f t="shared" si="88"/>
        <v>2160</v>
      </c>
      <c r="J172" s="15">
        <f t="shared" si="89"/>
        <v>1858.3333333333335</v>
      </c>
      <c r="K172" s="45">
        <f t="shared" si="90"/>
        <v>2230</v>
      </c>
      <c r="L172" s="15">
        <f t="shared" si="91"/>
        <v>2016.6666666666667</v>
      </c>
      <c r="M172" s="45">
        <f t="shared" si="92"/>
        <v>2420</v>
      </c>
      <c r="N172" s="74"/>
      <c r="O172" s="75"/>
      <c r="P172" s="23"/>
      <c r="Q172" s="74"/>
      <c r="R172" s="74"/>
      <c r="S172" s="75"/>
      <c r="T172" s="74"/>
      <c r="U172" s="75"/>
      <c r="V172" s="74"/>
      <c r="W172" s="75"/>
      <c r="X172" s="74"/>
      <c r="Y172" s="74"/>
      <c r="Z172" s="74"/>
      <c r="AA172" s="74"/>
      <c r="AB172" s="74"/>
      <c r="AC172" s="330">
        <v>1710</v>
      </c>
      <c r="AD172" s="330">
        <v>1980</v>
      </c>
      <c r="AE172" s="330">
        <v>2160</v>
      </c>
      <c r="AF172" s="330">
        <v>2230</v>
      </c>
      <c r="AG172" s="330">
        <v>2420</v>
      </c>
      <c r="AH172" s="129">
        <v>1490</v>
      </c>
      <c r="AI172" s="129">
        <f t="shared" si="93"/>
        <v>-0.12865497076023391</v>
      </c>
      <c r="AJ172" s="129">
        <v>1720</v>
      </c>
      <c r="AK172" s="129">
        <f t="shared" si="94"/>
        <v>-0.13131313131313127</v>
      </c>
      <c r="AL172" s="129">
        <v>1880</v>
      </c>
      <c r="AM172" s="1">
        <f t="shared" si="95"/>
        <v>-0.12962962962962965</v>
      </c>
      <c r="AN172" s="25">
        <v>1940</v>
      </c>
      <c r="AO172" s="1">
        <f t="shared" si="96"/>
        <v>-0.1300448430493274</v>
      </c>
      <c r="AP172" s="1">
        <v>2100</v>
      </c>
      <c r="AQ172" s="1">
        <f t="shared" si="97"/>
        <v>-0.13223140495867769</v>
      </c>
      <c r="AR172" s="145"/>
    </row>
    <row r="173" spans="1:46" x14ac:dyDescent="0.25">
      <c r="A173" s="8"/>
      <c r="B173" s="14" t="str">
        <f>IF($C$1="ENG","H (220 - 240 mm)","H (220 - 240 мм)")</f>
        <v>H (220 - 240 мм)</v>
      </c>
      <c r="C173" s="305"/>
      <c r="D173" s="15">
        <f t="shared" si="83"/>
        <v>1508.3333333333335</v>
      </c>
      <c r="E173" s="45">
        <f t="shared" si="84"/>
        <v>1810.0000000000002</v>
      </c>
      <c r="F173" s="15">
        <f t="shared" si="85"/>
        <v>1733.3333333333335</v>
      </c>
      <c r="G173" s="45">
        <f t="shared" si="86"/>
        <v>2080</v>
      </c>
      <c r="H173" s="15">
        <f t="shared" si="87"/>
        <v>1900</v>
      </c>
      <c r="I173" s="45">
        <f t="shared" si="88"/>
        <v>2280</v>
      </c>
      <c r="J173" s="15">
        <f t="shared" si="89"/>
        <v>1975</v>
      </c>
      <c r="K173" s="45">
        <f t="shared" si="90"/>
        <v>2370</v>
      </c>
      <c r="L173" s="15">
        <f t="shared" si="91"/>
        <v>2150</v>
      </c>
      <c r="M173" s="45">
        <f t="shared" si="92"/>
        <v>2580</v>
      </c>
      <c r="N173" s="74"/>
      <c r="O173" s="75"/>
      <c r="P173" s="23"/>
      <c r="Q173" s="74"/>
      <c r="R173" s="74"/>
      <c r="S173" s="75"/>
      <c r="T173" s="74"/>
      <c r="U173" s="75"/>
      <c r="V173" s="74"/>
      <c r="W173" s="75"/>
      <c r="X173" s="74"/>
      <c r="Y173" s="74"/>
      <c r="Z173" s="74"/>
      <c r="AA173" s="74"/>
      <c r="AB173" s="74"/>
      <c r="AC173" s="330">
        <v>1810</v>
      </c>
      <c r="AD173" s="330">
        <v>2080</v>
      </c>
      <c r="AE173" s="330">
        <v>2280</v>
      </c>
      <c r="AF173" s="330">
        <v>2370</v>
      </c>
      <c r="AG173" s="330">
        <v>2580</v>
      </c>
      <c r="AH173" s="129">
        <v>1570</v>
      </c>
      <c r="AI173" s="129">
        <f t="shared" si="93"/>
        <v>-0.13259668508287292</v>
      </c>
      <c r="AJ173" s="129">
        <v>1810</v>
      </c>
      <c r="AK173" s="129">
        <f t="shared" si="94"/>
        <v>-0.12980769230769229</v>
      </c>
      <c r="AL173" s="129">
        <v>1980</v>
      </c>
      <c r="AM173" s="1">
        <f t="shared" si="95"/>
        <v>-0.13157894736842102</v>
      </c>
      <c r="AN173" s="25">
        <v>2060</v>
      </c>
      <c r="AO173" s="1">
        <f t="shared" si="96"/>
        <v>-0.13080168776371304</v>
      </c>
      <c r="AP173" s="1">
        <v>2240</v>
      </c>
      <c r="AQ173" s="1">
        <f t="shared" si="97"/>
        <v>-0.13178294573643412</v>
      </c>
      <c r="AR173" s="145"/>
    </row>
    <row r="174" spans="1:46" x14ac:dyDescent="0.25">
      <c r="A174" s="8"/>
      <c r="B174" s="19" t="str">
        <f>IF($C$1="ENG","I (240 - 260 mm)","I (240 - 260 мм)")</f>
        <v>I (240 - 260 мм)</v>
      </c>
      <c r="C174" s="306"/>
      <c r="D174" s="20">
        <f t="shared" si="83"/>
        <v>1591.6666666666667</v>
      </c>
      <c r="E174" s="47">
        <f t="shared" si="84"/>
        <v>1910</v>
      </c>
      <c r="F174" s="20">
        <f t="shared" si="85"/>
        <v>1833.3333333333335</v>
      </c>
      <c r="G174" s="47">
        <f t="shared" si="86"/>
        <v>2200</v>
      </c>
      <c r="H174" s="20">
        <f t="shared" si="87"/>
        <v>2000</v>
      </c>
      <c r="I174" s="47">
        <f t="shared" si="88"/>
        <v>2400</v>
      </c>
      <c r="J174" s="20">
        <f t="shared" si="89"/>
        <v>2075</v>
      </c>
      <c r="K174" s="47">
        <f t="shared" si="90"/>
        <v>2490</v>
      </c>
      <c r="L174" s="20">
        <f t="shared" si="91"/>
        <v>2266.666666666667</v>
      </c>
      <c r="M174" s="47">
        <f t="shared" si="92"/>
        <v>2720.0000000000005</v>
      </c>
      <c r="N174" s="74"/>
      <c r="O174" s="75"/>
      <c r="P174" s="23"/>
      <c r="Q174" s="74"/>
      <c r="R174" s="74"/>
      <c r="S174" s="75"/>
      <c r="T174" s="74"/>
      <c r="U174" s="75"/>
      <c r="V174" s="74"/>
      <c r="W174" s="75"/>
      <c r="X174" s="74"/>
      <c r="Y174" s="74"/>
      <c r="Z174" s="74"/>
      <c r="AA174" s="74"/>
      <c r="AB174" s="74"/>
      <c r="AC174" s="330">
        <v>1910</v>
      </c>
      <c r="AD174" s="330">
        <v>2200</v>
      </c>
      <c r="AE174" s="330">
        <v>2400</v>
      </c>
      <c r="AF174" s="330">
        <v>2490</v>
      </c>
      <c r="AG174" s="330">
        <v>2720</v>
      </c>
      <c r="AH174" s="129">
        <v>1660</v>
      </c>
      <c r="AI174" s="129">
        <f t="shared" si="93"/>
        <v>-0.13089005235602091</v>
      </c>
      <c r="AJ174" s="129">
        <v>1910</v>
      </c>
      <c r="AK174" s="129">
        <f t="shared" si="94"/>
        <v>-0.13181818181818183</v>
      </c>
      <c r="AL174" s="129">
        <v>2090</v>
      </c>
      <c r="AM174" s="1">
        <f t="shared" si="95"/>
        <v>-0.12916666666666665</v>
      </c>
      <c r="AN174" s="25">
        <v>2170</v>
      </c>
      <c r="AO174" s="1">
        <f t="shared" si="96"/>
        <v>-0.12851405622489964</v>
      </c>
      <c r="AP174" s="1">
        <v>2361</v>
      </c>
      <c r="AQ174" s="1">
        <f t="shared" si="97"/>
        <v>-0.13198529411764703</v>
      </c>
      <c r="AR174" s="145"/>
    </row>
    <row r="175" spans="1:46" x14ac:dyDescent="0.25">
      <c r="C175" s="110"/>
      <c r="D175" s="21"/>
      <c r="E175" s="38"/>
      <c r="F175" s="21"/>
      <c r="G175" s="38"/>
      <c r="H175" s="40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</row>
    <row r="176" spans="1:46" ht="12.75" customHeight="1" x14ac:dyDescent="0.25">
      <c r="B176" s="211" t="str">
        <f>IF($C$1="ENG","For additonal charge:","Послуги за додаткову плату:")</f>
        <v>Послуги за додаткову плату:</v>
      </c>
      <c r="C176" s="212"/>
      <c r="D176" s="213"/>
      <c r="E176" s="214"/>
      <c r="F176" s="213"/>
      <c r="G176" s="213"/>
      <c r="H176" s="297"/>
      <c r="I176" s="298"/>
      <c r="J176" s="298"/>
      <c r="K176" s="298"/>
      <c r="L176" s="298"/>
      <c r="M176" s="298"/>
      <c r="N176" s="298"/>
      <c r="O176" s="298"/>
      <c r="P176" s="298"/>
      <c r="Q176" s="298"/>
      <c r="R176" s="298"/>
      <c r="S176" s="298"/>
      <c r="T176" s="298"/>
      <c r="U176" s="298"/>
      <c r="V176" s="298"/>
      <c r="W176" s="298"/>
      <c r="AC176" s="148">
        <v>0.15</v>
      </c>
    </row>
    <row r="177" spans="1:46" ht="5.0999999999999996" customHeight="1" x14ac:dyDescent="0.25">
      <c r="B177" s="22"/>
      <c r="C177" s="110"/>
      <c r="D177" s="21"/>
      <c r="E177" s="38"/>
      <c r="F177" s="21"/>
      <c r="G177" s="38"/>
      <c r="H177" s="5"/>
    </row>
    <row r="178" spans="1:46" x14ac:dyDescent="0.25">
      <c r="B178" s="285" t="str">
        <f>IF($C$1="ENG","Glazing types:","Вид скління:")</f>
        <v>Вид скління:</v>
      </c>
      <c r="C178" s="286" t="str">
        <f>IF($C$1="ENG","MDF","Фільонка")</f>
        <v>Фільонка</v>
      </c>
      <c r="D178" s="70">
        <f t="shared" ref="D178:D183" si="98">IF(AC178="","",(1-$W$2)*(AC178/1.2))</f>
        <v>1166.6666666666667</v>
      </c>
      <c r="E178" s="43">
        <f t="shared" ref="E178:E183" si="99">IF($W$5=0.2,D178*1.2,D178)/$W$4</f>
        <v>1400</v>
      </c>
      <c r="F178" s="21"/>
      <c r="G178" s="38"/>
      <c r="H178" s="113"/>
      <c r="L178" s="74"/>
      <c r="M178" s="75"/>
      <c r="N178" s="74"/>
      <c r="O178" s="75"/>
      <c r="P178" s="74"/>
      <c r="Q178" s="75"/>
      <c r="R178" s="74"/>
      <c r="S178" s="75"/>
      <c r="T178" s="74"/>
      <c r="U178" s="75"/>
      <c r="V178" s="74"/>
      <c r="W178" s="75"/>
      <c r="AC178" s="33">
        <v>1400</v>
      </c>
      <c r="AD178" s="129">
        <v>1220</v>
      </c>
      <c r="AE178" s="129">
        <f t="shared" ref="AE178:AE183" si="100">AD178/AC178-1</f>
        <v>-0.12857142857142856</v>
      </c>
      <c r="AF178" s="129"/>
      <c r="AG178" s="129"/>
      <c r="AH178" s="129"/>
      <c r="AI178" s="129"/>
      <c r="AJ178" s="129"/>
      <c r="AK178" s="129"/>
      <c r="AL178" s="129"/>
    </row>
    <row r="179" spans="1:46" x14ac:dyDescent="0.25">
      <c r="B179" s="120"/>
      <c r="C179" s="282" t="str">
        <f>IF($C$1="ENG","Satin","Сатин")</f>
        <v>Сатин</v>
      </c>
      <c r="D179" s="71">
        <f t="shared" si="98"/>
        <v>1075</v>
      </c>
      <c r="E179" s="45">
        <f t="shared" si="99"/>
        <v>1290</v>
      </c>
      <c r="F179" s="21"/>
      <c r="G179" s="21"/>
      <c r="H179" s="113"/>
      <c r="L179" s="74"/>
      <c r="M179" s="75"/>
      <c r="P179" s="74"/>
      <c r="Q179" s="75"/>
      <c r="AC179" s="33">
        <v>1290</v>
      </c>
      <c r="AD179" s="129">
        <v>1120</v>
      </c>
      <c r="AE179" s="129">
        <f t="shared" si="100"/>
        <v>-0.13178294573643412</v>
      </c>
      <c r="AF179" s="129"/>
      <c r="AG179" s="129"/>
      <c r="AH179" s="129"/>
      <c r="AI179" s="129"/>
      <c r="AJ179" s="129"/>
      <c r="AK179" s="129"/>
      <c r="AL179" s="129"/>
    </row>
    <row r="180" spans="1:46" x14ac:dyDescent="0.25">
      <c r="B180" s="281"/>
      <c r="C180" s="282" t="str">
        <f>IF($C$1="ENG","Graphite","Графіт")</f>
        <v>Графіт</v>
      </c>
      <c r="D180" s="71">
        <f t="shared" si="98"/>
        <v>1466.6666666666667</v>
      </c>
      <c r="E180" s="45">
        <f t="shared" si="99"/>
        <v>1760</v>
      </c>
      <c r="F180" s="21"/>
      <c r="G180" s="21"/>
      <c r="H180" s="113"/>
      <c r="L180" s="74"/>
      <c r="M180" s="75"/>
      <c r="P180" s="74"/>
      <c r="Q180" s="75"/>
      <c r="AC180" s="33">
        <v>1760</v>
      </c>
      <c r="AD180" s="129">
        <v>1530</v>
      </c>
      <c r="AE180" s="129">
        <f t="shared" si="100"/>
        <v>-0.13068181818181823</v>
      </c>
      <c r="AF180" s="129"/>
      <c r="AG180" s="129"/>
      <c r="AH180" s="129"/>
      <c r="AI180" s="129"/>
      <c r="AJ180" s="129"/>
      <c r="AK180" s="129"/>
      <c r="AL180" s="129"/>
    </row>
    <row r="181" spans="1:46" x14ac:dyDescent="0.25">
      <c r="B181" s="281"/>
      <c r="C181" s="282" t="str">
        <f>IF($C$1="ENG","Bronze","Бронза")</f>
        <v>Бронза</v>
      </c>
      <c r="D181" s="71">
        <f t="shared" si="98"/>
        <v>1466.6666666666667</v>
      </c>
      <c r="E181" s="45">
        <f t="shared" si="99"/>
        <v>1760</v>
      </c>
      <c r="F181" s="21"/>
      <c r="G181" s="21"/>
      <c r="H181" s="113"/>
      <c r="L181" s="74"/>
      <c r="M181" s="75"/>
      <c r="P181" s="74"/>
      <c r="Q181" s="75"/>
      <c r="AC181" s="33">
        <v>1760</v>
      </c>
      <c r="AD181" s="129">
        <v>1530</v>
      </c>
      <c r="AE181" s="129">
        <f t="shared" si="100"/>
        <v>-0.13068181818181823</v>
      </c>
      <c r="AF181" s="129"/>
      <c r="AG181" s="129"/>
      <c r="AH181" s="129"/>
      <c r="AI181" s="129"/>
      <c r="AJ181" s="129"/>
      <c r="AK181" s="129"/>
      <c r="AL181" s="129"/>
    </row>
    <row r="182" spans="1:46" x14ac:dyDescent="0.25">
      <c r="B182" s="281"/>
      <c r="C182" s="282" t="str">
        <f>IF($C$1="ENG","Drawing","Малюнок")</f>
        <v>Малюнок</v>
      </c>
      <c r="D182" s="71">
        <f t="shared" si="98"/>
        <v>1300</v>
      </c>
      <c r="E182" s="45">
        <f t="shared" si="99"/>
        <v>1560</v>
      </c>
      <c r="F182" s="21"/>
      <c r="G182" s="21"/>
      <c r="H182" s="113"/>
      <c r="L182" s="74"/>
      <c r="M182" s="75"/>
      <c r="P182" s="74"/>
      <c r="Q182" s="75"/>
      <c r="AC182" s="33">
        <v>1560</v>
      </c>
      <c r="AD182" s="129">
        <v>1360</v>
      </c>
      <c r="AE182" s="129">
        <f t="shared" si="100"/>
        <v>-0.12820512820512819</v>
      </c>
      <c r="AF182" s="129"/>
      <c r="AG182" s="129"/>
      <c r="AH182" s="129"/>
      <c r="AI182" s="129"/>
      <c r="AJ182" s="129"/>
      <c r="AK182" s="129"/>
      <c r="AL182" s="129"/>
    </row>
    <row r="183" spans="1:46" x14ac:dyDescent="0.25">
      <c r="B183" s="281"/>
      <c r="C183" s="282" t="str">
        <f>IF($C$1="ENG","Mirror","Дзеркало")</f>
        <v>Дзеркало</v>
      </c>
      <c r="D183" s="72">
        <f t="shared" si="98"/>
        <v>1575</v>
      </c>
      <c r="E183" s="47">
        <f t="shared" si="99"/>
        <v>1890</v>
      </c>
      <c r="F183" s="21"/>
      <c r="G183" s="21"/>
      <c r="H183" s="113"/>
      <c r="L183" s="74"/>
      <c r="M183" s="75"/>
      <c r="P183" s="74"/>
      <c r="Q183" s="75"/>
      <c r="AC183" s="33">
        <v>1890</v>
      </c>
      <c r="AD183" s="129">
        <v>1640</v>
      </c>
      <c r="AE183" s="129">
        <f t="shared" si="100"/>
        <v>-0.13227513227513232</v>
      </c>
      <c r="AF183" s="129"/>
      <c r="AG183" s="129"/>
      <c r="AH183" s="129"/>
      <c r="AI183" s="129"/>
      <c r="AJ183" s="129"/>
      <c r="AK183" s="129"/>
      <c r="AL183" s="129"/>
    </row>
    <row r="184" spans="1:46" x14ac:dyDescent="0.25">
      <c r="T184" s="341"/>
      <c r="U184" s="341"/>
      <c r="V184" s="341"/>
      <c r="W184" s="341"/>
      <c r="AD184" s="129">
        <f>T184/100*13+T184</f>
        <v>0</v>
      </c>
      <c r="AE184" s="129" t="e">
        <f>AD184/T184-1</f>
        <v>#DIV/0!</v>
      </c>
    </row>
    <row r="185" spans="1:46" x14ac:dyDescent="0.25">
      <c r="C185" s="110"/>
      <c r="D185" s="21"/>
      <c r="E185" s="21"/>
      <c r="F185" s="21"/>
      <c r="G185" s="21"/>
      <c r="H185" s="5"/>
    </row>
    <row r="186" spans="1:46" x14ac:dyDescent="0.25">
      <c r="C186" s="110"/>
      <c r="D186" s="21"/>
      <c r="E186" s="21"/>
      <c r="F186" s="21"/>
      <c r="G186" s="21"/>
      <c r="H186" s="5"/>
    </row>
    <row r="187" spans="1:46" x14ac:dyDescent="0.25">
      <c r="C187" s="110"/>
      <c r="D187" s="21"/>
      <c r="E187" s="21"/>
      <c r="F187" s="21"/>
      <c r="G187" s="21"/>
      <c r="H187" s="5"/>
    </row>
    <row r="188" spans="1:46" s="8" customFormat="1" ht="24.9" customHeight="1" x14ac:dyDescent="0.25">
      <c r="B188" s="246" t="str">
        <f>TITLE!C50</f>
        <v>Дверні Ручки</v>
      </c>
      <c r="C188" s="244"/>
      <c r="D188" s="245"/>
      <c r="E188" s="217"/>
      <c r="F188" s="216"/>
      <c r="G188" s="299"/>
      <c r="H188" s="216"/>
      <c r="I188" s="217"/>
      <c r="J188" s="217"/>
      <c r="K188" s="217"/>
      <c r="L188" s="217"/>
      <c r="M188" s="217"/>
      <c r="N188" s="217"/>
      <c r="O188" s="217"/>
      <c r="P188" s="217"/>
      <c r="Q188" s="217"/>
      <c r="R188" s="217"/>
      <c r="S188" s="217"/>
      <c r="T188" s="217"/>
      <c r="U188" s="217"/>
      <c r="V188" s="217"/>
      <c r="W188" s="217"/>
      <c r="X188" s="185"/>
      <c r="AN188" s="123"/>
      <c r="AO188" s="123"/>
      <c r="AP188" s="123"/>
      <c r="AQ188" s="123"/>
      <c r="AR188" s="123"/>
      <c r="AS188" s="123"/>
      <c r="AT188" s="123"/>
    </row>
    <row r="189" spans="1:46" s="8" customFormat="1" ht="5.0999999999999996" customHeight="1" x14ac:dyDescent="0.25">
      <c r="C189" s="163"/>
      <c r="L189" s="33"/>
      <c r="M189" s="33"/>
      <c r="N189" s="33"/>
      <c r="O189" s="33"/>
      <c r="P189" s="33"/>
      <c r="Q189" s="33"/>
      <c r="R189" s="33"/>
      <c r="S189" s="33"/>
      <c r="T189" s="82"/>
      <c r="U189" s="82"/>
      <c r="V189" s="82"/>
      <c r="W189" s="82"/>
      <c r="AN189" s="123"/>
      <c r="AO189" s="123"/>
      <c r="AP189" s="123"/>
      <c r="AQ189" s="123"/>
      <c r="AR189" s="123"/>
      <c r="AS189" s="123"/>
      <c r="AT189" s="123"/>
    </row>
    <row r="190" spans="1:46" ht="33.75" customHeight="1" x14ac:dyDescent="0.25">
      <c r="A190" s="8"/>
      <c r="B190" s="41" t="str">
        <f>IF($C$1="ENG","model","модель")</f>
        <v>модель</v>
      </c>
      <c r="C190" s="170"/>
      <c r="D190" s="339" t="str">
        <f>IF($C$1="ENG","cat. options","див. каталог")</f>
        <v>див. каталог</v>
      </c>
      <c r="E190" s="340"/>
      <c r="J190" s="33"/>
      <c r="K190" s="33"/>
      <c r="L190" s="32"/>
      <c r="M190" s="32"/>
      <c r="N190" s="32"/>
      <c r="O190" s="32"/>
      <c r="P190" s="32"/>
      <c r="Q190" s="32"/>
      <c r="R190" s="32"/>
      <c r="S190" s="32"/>
      <c r="AD190" s="1">
        <v>1.1499999999999999</v>
      </c>
    </row>
    <row r="191" spans="1:46" ht="34.5" customHeight="1" x14ac:dyDescent="0.25">
      <c r="A191" s="8"/>
      <c r="B191" s="12" t="str">
        <f>IF($C$1="ENG","Door handle VERONA","Ручка VERONA")</f>
        <v>Ручка VERONA</v>
      </c>
      <c r="C191" s="171"/>
      <c r="D191" s="13">
        <f>IF(AC191="","",(1-$W$2)*(AC191/1.2))</f>
        <v>3541.666666666667</v>
      </c>
      <c r="E191" s="43">
        <f>IF($W$5=0.2,D191*1.2,D191)/$W$4</f>
        <v>4250</v>
      </c>
      <c r="L191" s="23"/>
      <c r="M191" s="39"/>
      <c r="N191" s="23"/>
      <c r="O191" s="24"/>
      <c r="P191" s="23"/>
      <c r="Q191" s="39"/>
      <c r="R191" s="23"/>
      <c r="S191" s="24"/>
      <c r="T191" s="30"/>
      <c r="U191" s="25"/>
      <c r="W191" s="17"/>
      <c r="X191" s="18"/>
      <c r="Y191" s="18"/>
      <c r="Z191" s="18"/>
      <c r="AA191" s="18"/>
      <c r="AB191" s="18"/>
      <c r="AC191" s="1">
        <v>4250</v>
      </c>
      <c r="AD191" s="1">
        <v>3748.9999999999995</v>
      </c>
      <c r="AE191" s="1">
        <f>AD191/AC191-1</f>
        <v>-0.11788235294117655</v>
      </c>
      <c r="AF191" s="129"/>
      <c r="AG191" s="129"/>
      <c r="AH191" s="129"/>
      <c r="AI191" s="129"/>
      <c r="AJ191" s="129"/>
      <c r="AK191" s="129"/>
      <c r="AL191" s="129"/>
    </row>
    <row r="192" spans="1:46" ht="34.5" customHeight="1" x14ac:dyDescent="0.25">
      <c r="A192" s="8"/>
      <c r="B192" s="14" t="str">
        <f>IF($C$1="ENG","Door handle MILANO","Ручка MILANO")</f>
        <v>Ручка MILANO</v>
      </c>
      <c r="C192" s="172"/>
      <c r="D192" s="15">
        <f>IF(AC192="","",(1-$W$2)*(AC192/1.2))</f>
        <v>3541.666666666667</v>
      </c>
      <c r="E192" s="45">
        <f>IF($W$5=0.2,D192*1.2,D192)/$W$4</f>
        <v>4250</v>
      </c>
      <c r="L192" s="23"/>
      <c r="M192" s="39"/>
      <c r="N192" s="23"/>
      <c r="O192" s="24"/>
      <c r="P192" s="23"/>
      <c r="Q192" s="39"/>
      <c r="R192" s="23"/>
      <c r="S192" s="24"/>
      <c r="T192" s="30"/>
      <c r="U192" s="25"/>
      <c r="W192" s="25"/>
      <c r="AC192" s="1">
        <v>4250</v>
      </c>
      <c r="AD192" s="1">
        <v>3748.9999999999995</v>
      </c>
      <c r="AE192" s="1">
        <f>AD192/AC192-1</f>
        <v>-0.11788235294117655</v>
      </c>
      <c r="AF192" s="129"/>
      <c r="AG192" s="129"/>
      <c r="AH192" s="129"/>
      <c r="AI192" s="129"/>
      <c r="AJ192" s="129"/>
      <c r="AK192" s="129"/>
      <c r="AL192" s="129"/>
    </row>
    <row r="193" spans="1:46" ht="34.5" customHeight="1" x14ac:dyDescent="0.25">
      <c r="B193" s="14" t="str">
        <f>IF($C$1="ENG","Door handle HANDY","Ручка HANDY")</f>
        <v>Ручка HANDY</v>
      </c>
      <c r="C193" s="172"/>
      <c r="D193" s="77">
        <f>IF(AC193="","",(1-$W$2)*(AC193/1.2))</f>
        <v>1725</v>
      </c>
      <c r="E193" s="45">
        <f>IF($W$5=0.2,D193*1.2,D193)/$W$4</f>
        <v>2070</v>
      </c>
      <c r="L193" s="23"/>
      <c r="N193" s="23"/>
      <c r="P193" s="23"/>
      <c r="R193" s="23"/>
      <c r="AC193" s="1">
        <v>2070</v>
      </c>
      <c r="AD193" s="1">
        <v>1793.9999999999998</v>
      </c>
      <c r="AE193" s="1">
        <f>AD193/AC193-1</f>
        <v>-0.13333333333333341</v>
      </c>
      <c r="AF193" s="129"/>
      <c r="AG193" s="129"/>
      <c r="AH193" s="129"/>
      <c r="AI193" s="129"/>
      <c r="AJ193" s="129"/>
      <c r="AK193" s="129"/>
      <c r="AL193" s="129"/>
    </row>
    <row r="194" spans="1:46" ht="34.5" customHeight="1" x14ac:dyDescent="0.25">
      <c r="A194" s="8"/>
      <c r="B194" s="14" t="str">
        <f>IF($C$1="ENG","Door handle PRIUS","Ручка PRIUS")</f>
        <v>Ручка PRIUS</v>
      </c>
      <c r="C194" s="172"/>
      <c r="D194" s="15">
        <f>IF(AC194="","",(1-$W$2)*(AC194/1.2))</f>
        <v>1725</v>
      </c>
      <c r="E194" s="45">
        <f>IF($W$5=0.2,D194*1.2,D194)/$W$4</f>
        <v>2070</v>
      </c>
      <c r="L194" s="23"/>
      <c r="N194" s="23"/>
      <c r="O194" s="24"/>
      <c r="P194" s="23"/>
      <c r="R194" s="23"/>
      <c r="S194" s="24"/>
      <c r="T194" s="30"/>
      <c r="U194" s="25"/>
      <c r="W194" s="25"/>
      <c r="AC194" s="1">
        <v>2070</v>
      </c>
      <c r="AD194" s="1">
        <v>1793.9999999999998</v>
      </c>
      <c r="AE194" s="1">
        <f>AD194/AC194-1</f>
        <v>-0.13333333333333341</v>
      </c>
      <c r="AF194" s="129"/>
      <c r="AG194" s="129"/>
      <c r="AH194" s="129"/>
      <c r="AI194" s="129"/>
      <c r="AJ194" s="129"/>
      <c r="AK194" s="129"/>
      <c r="AL194" s="129"/>
    </row>
    <row r="195" spans="1:46" ht="34.5" customHeight="1" x14ac:dyDescent="0.25">
      <c r="B195" s="19" t="str">
        <f>IF($C$1="ENG","Door handle OFFICE","Ручка OFFICE")</f>
        <v>Ручка OFFICE</v>
      </c>
      <c r="C195" s="173"/>
      <c r="D195" s="20">
        <f>IF(AC195="","",(1-$W$2)*(AC195/1.2))</f>
        <v>825</v>
      </c>
      <c r="E195" s="47">
        <f>IF($W$5=0.2,D195*1.2,D195)/$W$4</f>
        <v>990</v>
      </c>
      <c r="L195" s="23"/>
      <c r="P195" s="23"/>
      <c r="AC195" s="1">
        <v>990</v>
      </c>
      <c r="AD195" s="1">
        <v>862.49999999999989</v>
      </c>
      <c r="AE195" s="1">
        <f>AD195/AC195-1</f>
        <v>-0.1287878787878789</v>
      </c>
      <c r="AF195" s="129"/>
      <c r="AG195" s="129"/>
      <c r="AH195" s="129"/>
      <c r="AI195" s="129"/>
      <c r="AJ195" s="129"/>
      <c r="AK195" s="129"/>
      <c r="AL195" s="129"/>
    </row>
    <row r="196" spans="1:46" ht="14.25" customHeight="1" x14ac:dyDescent="0.25">
      <c r="T196" s="341"/>
      <c r="U196" s="341"/>
      <c r="V196" s="341"/>
      <c r="W196" s="341"/>
    </row>
    <row r="197" spans="1:46" ht="14.25" customHeight="1" x14ac:dyDescent="0.25">
      <c r="C197" s="110"/>
      <c r="D197" s="21"/>
      <c r="E197" s="21"/>
      <c r="F197" s="21"/>
      <c r="G197" s="21"/>
      <c r="H197" s="5"/>
    </row>
    <row r="198" spans="1:46" ht="14.25" customHeight="1" x14ac:dyDescent="0.25">
      <c r="C198" s="110"/>
      <c r="D198" s="21"/>
      <c r="E198" s="21"/>
      <c r="F198" s="21"/>
      <c r="G198" s="21"/>
      <c r="H198" s="5"/>
    </row>
    <row r="199" spans="1:46" ht="14.25" customHeight="1" x14ac:dyDescent="0.25">
      <c r="C199" s="110"/>
      <c r="D199" s="21"/>
      <c r="E199" s="21"/>
      <c r="F199" s="21"/>
      <c r="G199" s="21"/>
      <c r="H199" s="5"/>
    </row>
    <row r="200" spans="1:46" s="8" customFormat="1" ht="24.9" customHeight="1" x14ac:dyDescent="0.25">
      <c r="B200" s="246" t="str">
        <f>TITLE!$C$51</f>
        <v>Інші Аксесуари</v>
      </c>
      <c r="C200" s="244"/>
      <c r="D200" s="245"/>
      <c r="E200" s="217"/>
      <c r="F200" s="216"/>
      <c r="G200" s="299"/>
      <c r="H200" s="216"/>
      <c r="I200" s="217"/>
      <c r="J200" s="217"/>
      <c r="K200" s="217"/>
      <c r="L200" s="217"/>
      <c r="M200" s="217"/>
      <c r="N200" s="217"/>
      <c r="O200" s="217"/>
      <c r="P200" s="217"/>
      <c r="Q200" s="217"/>
      <c r="R200" s="217"/>
      <c r="S200" s="217"/>
      <c r="T200" s="217"/>
      <c r="U200" s="217"/>
      <c r="V200" s="217"/>
      <c r="W200" s="217"/>
      <c r="X200" s="185"/>
      <c r="AN200" s="123"/>
      <c r="AO200" s="123"/>
      <c r="AP200" s="123"/>
      <c r="AQ200" s="123"/>
      <c r="AR200" s="123"/>
      <c r="AS200" s="123"/>
      <c r="AT200" s="123"/>
    </row>
    <row r="201" spans="1:46" s="8" customFormat="1" ht="5.0999999999999996" customHeight="1" x14ac:dyDescent="0.25">
      <c r="C201" s="163"/>
      <c r="L201" s="33"/>
      <c r="M201" s="33"/>
      <c r="N201" s="33"/>
      <c r="O201" s="33"/>
      <c r="P201" s="33"/>
      <c r="Q201" s="33"/>
      <c r="R201" s="33"/>
      <c r="S201" s="33"/>
      <c r="T201" s="82"/>
      <c r="U201" s="82"/>
      <c r="V201" s="82"/>
      <c r="W201" s="82"/>
      <c r="AN201" s="123"/>
      <c r="AO201" s="123"/>
      <c r="AP201" s="123"/>
      <c r="AQ201" s="123"/>
      <c r="AR201" s="123"/>
      <c r="AS201" s="123"/>
      <c r="AT201" s="123"/>
    </row>
    <row r="202" spans="1:46" ht="24" customHeight="1" x14ac:dyDescent="0.25">
      <c r="A202" s="8"/>
      <c r="B202" s="41" t="str">
        <f>IF($C$1="ENG","model","модель")</f>
        <v>модель</v>
      </c>
      <c r="C202" s="170"/>
      <c r="D202" s="339" t="str">
        <f>IF($C$1="ENG","price","Ціна")</f>
        <v>Ціна</v>
      </c>
      <c r="E202" s="340"/>
      <c r="F202" s="10"/>
      <c r="G202" s="10"/>
      <c r="H202" s="10"/>
      <c r="I202" s="33"/>
      <c r="J202" s="33"/>
      <c r="K202" s="33"/>
      <c r="L202" s="32"/>
      <c r="M202" s="32"/>
      <c r="N202" s="32"/>
      <c r="O202" s="32"/>
      <c r="P202" s="32"/>
      <c r="Q202" s="32"/>
      <c r="R202" s="32"/>
      <c r="S202" s="32"/>
    </row>
    <row r="203" spans="1:46" ht="34.5" customHeight="1" x14ac:dyDescent="0.25">
      <c r="A203" s="8"/>
      <c r="B203" s="12" t="str">
        <f>IF($C$1="ENG","Door Lock STANDARD","Замок STANDARD")</f>
        <v>Замок STANDARD</v>
      </c>
      <c r="C203" s="171"/>
      <c r="D203" s="13">
        <f>IF(AC203="","",(1-$W$2)*(AC203/1.2))</f>
        <v>383.33333333333337</v>
      </c>
      <c r="E203" s="43">
        <f>IF($W$5=0.2,D203*1.2,D203)/$W$4</f>
        <v>460.00000000000006</v>
      </c>
      <c r="F203" s="42"/>
      <c r="G203" s="32"/>
      <c r="H203" s="32"/>
      <c r="I203" s="32"/>
      <c r="J203" s="32"/>
      <c r="K203" s="32"/>
      <c r="L203" s="23"/>
      <c r="M203" s="39"/>
      <c r="N203" s="23"/>
      <c r="O203" s="24"/>
      <c r="P203" s="23"/>
      <c r="Q203" s="39"/>
      <c r="R203" s="23"/>
      <c r="S203" s="24"/>
      <c r="T203" s="30"/>
      <c r="U203" s="25"/>
      <c r="W203" s="17"/>
      <c r="X203" s="18"/>
      <c r="Y203" s="18"/>
      <c r="Z203" s="18"/>
      <c r="AA203" s="18"/>
      <c r="AB203" s="18"/>
      <c r="AC203" s="1">
        <v>460.00000000000006</v>
      </c>
      <c r="AD203" s="129"/>
      <c r="AE203" s="129"/>
      <c r="AF203" s="129"/>
      <c r="AG203" s="129"/>
      <c r="AH203" s="129"/>
      <c r="AI203" s="129"/>
      <c r="AJ203" s="129"/>
      <c r="AK203" s="129"/>
      <c r="AL203" s="129"/>
    </row>
    <row r="204" spans="1:46" ht="34.5" customHeight="1" x14ac:dyDescent="0.25">
      <c r="A204" s="8"/>
      <c r="B204" s="14" t="str">
        <f>IF($C$1="ENG","Door hinge for rabbit door","завіса штирьова")</f>
        <v>завіса штирьова</v>
      </c>
      <c r="C204" s="172"/>
      <c r="D204" s="15">
        <f>IF(AC204="","",(1-$W$2)*(AC204/1.2))</f>
        <v>116.66666666666667</v>
      </c>
      <c r="E204" s="45">
        <f>IF($W$5=0.2,D204*1.2,D204)/$W$4</f>
        <v>140</v>
      </c>
      <c r="F204" s="44"/>
      <c r="G204" s="39"/>
      <c r="H204" s="74"/>
      <c r="I204" s="75"/>
      <c r="J204" s="23"/>
      <c r="K204" s="24"/>
      <c r="L204" s="23"/>
      <c r="M204" s="39"/>
      <c r="N204" s="23"/>
      <c r="O204" s="24"/>
      <c r="P204" s="23"/>
      <c r="Q204" s="39"/>
      <c r="R204" s="23"/>
      <c r="S204" s="24"/>
      <c r="T204" s="30"/>
      <c r="U204" s="25"/>
      <c r="W204" s="25"/>
      <c r="AC204" s="1">
        <v>140</v>
      </c>
      <c r="AD204" s="129"/>
      <c r="AE204" s="129"/>
      <c r="AF204" s="129"/>
      <c r="AG204" s="129"/>
      <c r="AH204" s="129"/>
      <c r="AI204" s="129"/>
      <c r="AJ204" s="129"/>
      <c r="AK204" s="129"/>
      <c r="AL204" s="129"/>
    </row>
    <row r="205" spans="1:46" ht="34.5" customHeight="1" x14ac:dyDescent="0.25">
      <c r="A205" s="8"/>
      <c r="B205" s="14" t="str">
        <f>IF($C$1="ENG","Door lock hatch","відповідна планка")</f>
        <v>відповідна планка</v>
      </c>
      <c r="C205" s="172"/>
      <c r="D205" s="15">
        <f>IF(AC205="","",(1-$W$2)*(AC205/1.2))</f>
        <v>116.66666666666667</v>
      </c>
      <c r="E205" s="45">
        <f>IF($W$5=0.2,D205*1.2,D205)/$W$4</f>
        <v>140</v>
      </c>
      <c r="F205" s="44"/>
      <c r="G205" s="39"/>
      <c r="H205" s="74"/>
      <c r="I205" s="75"/>
      <c r="J205" s="23"/>
      <c r="K205" s="24"/>
      <c r="L205" s="23"/>
      <c r="M205" s="39"/>
      <c r="N205" s="23"/>
      <c r="O205" s="24"/>
      <c r="P205" s="23"/>
      <c r="Q205" s="39"/>
      <c r="R205" s="23"/>
      <c r="S205" s="24"/>
      <c r="T205" s="30"/>
      <c r="U205" s="25"/>
      <c r="W205" s="25"/>
      <c r="AC205" s="1">
        <v>140</v>
      </c>
      <c r="AD205" s="129"/>
      <c r="AE205" s="129"/>
      <c r="AF205" s="129"/>
      <c r="AG205" s="129"/>
      <c r="AH205" s="129"/>
      <c r="AI205" s="129"/>
      <c r="AJ205" s="129"/>
      <c r="AK205" s="129"/>
      <c r="AL205" s="129"/>
    </row>
    <row r="206" spans="1:46" ht="34.5" customHeight="1" x14ac:dyDescent="0.25">
      <c r="B206" s="19" t="str">
        <f>IF($C$1="ENG","Door lock latch","Шпінгалет")</f>
        <v>Шпінгалет</v>
      </c>
      <c r="C206" s="173"/>
      <c r="D206" s="46">
        <f>IF(AC206="","",(1-$W$2)*(AC206/1.2))</f>
        <v>191.66666666666669</v>
      </c>
      <c r="E206" s="47">
        <f>IF($W$5=0.2,D206*1.2,D206)/$W$4</f>
        <v>230.00000000000003</v>
      </c>
      <c r="F206" s="44"/>
      <c r="G206" s="39"/>
      <c r="H206" s="74"/>
      <c r="I206" s="75"/>
      <c r="J206" s="23"/>
      <c r="K206" s="24"/>
      <c r="AC206" s="1">
        <v>230.00000000000003</v>
      </c>
      <c r="AD206" s="129"/>
      <c r="AE206" s="129"/>
      <c r="AF206" s="129"/>
      <c r="AG206" s="129"/>
      <c r="AH206" s="129"/>
      <c r="AI206" s="129"/>
      <c r="AJ206" s="129"/>
      <c r="AK206" s="129"/>
      <c r="AL206" s="129"/>
    </row>
    <row r="207" spans="1:46" ht="14.25" customHeight="1" x14ac:dyDescent="0.25">
      <c r="F207" s="21"/>
      <c r="G207" s="39"/>
      <c r="H207" s="74"/>
      <c r="I207" s="75"/>
    </row>
    <row r="208" spans="1:46" ht="14.25" customHeight="1" x14ac:dyDescent="0.25">
      <c r="C208" s="110"/>
      <c r="D208" s="21"/>
      <c r="E208" s="21"/>
      <c r="F208" s="21"/>
      <c r="G208" s="21"/>
      <c r="H208" s="5"/>
    </row>
    <row r="209" spans="3:8" ht="14.25" customHeight="1" x14ac:dyDescent="0.25">
      <c r="C209" s="110"/>
      <c r="D209" s="21"/>
      <c r="E209" s="21"/>
      <c r="F209" s="21"/>
      <c r="G209" s="21"/>
      <c r="H209" s="5"/>
    </row>
    <row r="210" spans="3:8" x14ac:dyDescent="0.25">
      <c r="C210" s="110"/>
      <c r="D210" s="21"/>
      <c r="E210" s="21"/>
      <c r="F210" s="21"/>
      <c r="G210" s="21"/>
      <c r="H210" s="5"/>
    </row>
    <row r="211" spans="3:8" x14ac:dyDescent="0.25">
      <c r="C211" s="110"/>
      <c r="D211" s="21"/>
      <c r="E211" s="21"/>
    </row>
    <row r="212" spans="3:8" x14ac:dyDescent="0.25">
      <c r="C212" s="110"/>
      <c r="D212" s="21"/>
      <c r="E212" s="21"/>
    </row>
  </sheetData>
  <sheetProtection algorithmName="SHA-512" hashValue="0HsgwO97ycC19IX2vj58XqaJTs6q0VxDszQ1xoETpsyvaA+e3fQMthCTsDMQF4aH3jq2WOakxOZCWB94+aRgjw==" saltValue="AQeILtCOqAe5jsY7/01Zug==" spinCount="100000" sheet="1" insertColumns="0" insertRows="0" deleteColumns="0"/>
  <mergeCells count="133"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E1:K1"/>
    <mergeCell ref="E2:K2"/>
    <mergeCell ref="E4:I4"/>
    <mergeCell ref="T20:W20"/>
    <mergeCell ref="D14:E14"/>
    <mergeCell ref="F14:G14"/>
    <mergeCell ref="H14:I14"/>
    <mergeCell ref="J14:K14"/>
    <mergeCell ref="L14:M14"/>
    <mergeCell ref="B19:C19"/>
    <mergeCell ref="B8:C8"/>
    <mergeCell ref="B13:B14"/>
    <mergeCell ref="D13:E13"/>
    <mergeCell ref="F13:G13"/>
    <mergeCell ref="H13:I13"/>
    <mergeCell ref="J13:K13"/>
    <mergeCell ref="L13:M13"/>
    <mergeCell ref="D26:G26"/>
    <mergeCell ref="H26:K26"/>
    <mergeCell ref="L26:O26"/>
    <mergeCell ref="P26:S26"/>
    <mergeCell ref="T26:W26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D48:G48"/>
    <mergeCell ref="H48:K48"/>
    <mergeCell ref="L48:O48"/>
    <mergeCell ref="P48:S48"/>
    <mergeCell ref="T48:W48"/>
    <mergeCell ref="B41:C41"/>
    <mergeCell ref="T42:W42"/>
    <mergeCell ref="V27:W27"/>
    <mergeCell ref="B40:C40"/>
    <mergeCell ref="T68:W68"/>
    <mergeCell ref="P49:Q49"/>
    <mergeCell ref="R49:S49"/>
    <mergeCell ref="T49:U49"/>
    <mergeCell ref="V49:W49"/>
    <mergeCell ref="E60:K60"/>
    <mergeCell ref="B67:C67"/>
    <mergeCell ref="D49:E49"/>
    <mergeCell ref="F49:G49"/>
    <mergeCell ref="H49:I49"/>
    <mergeCell ref="J49:K49"/>
    <mergeCell ref="L49:M49"/>
    <mergeCell ref="N49:O49"/>
    <mergeCell ref="T90:W90"/>
    <mergeCell ref="N75:O75"/>
    <mergeCell ref="P75:Q75"/>
    <mergeCell ref="R75:S75"/>
    <mergeCell ref="T75:U75"/>
    <mergeCell ref="V75:W75"/>
    <mergeCell ref="B89:C89"/>
    <mergeCell ref="D74:G74"/>
    <mergeCell ref="H74:K74"/>
    <mergeCell ref="L74:O74"/>
    <mergeCell ref="P74:S74"/>
    <mergeCell ref="T74:W74"/>
    <mergeCell ref="D75:E75"/>
    <mergeCell ref="F75:G75"/>
    <mergeCell ref="H75:I75"/>
    <mergeCell ref="J75:K75"/>
    <mergeCell ref="L75:M75"/>
    <mergeCell ref="D95:G95"/>
    <mergeCell ref="H95:K95"/>
    <mergeCell ref="L95:O95"/>
    <mergeCell ref="P95:S95"/>
    <mergeCell ref="T95:W95"/>
    <mergeCell ref="D96:E96"/>
    <mergeCell ref="H96:I96"/>
    <mergeCell ref="L96:M96"/>
    <mergeCell ref="N96:O96"/>
    <mergeCell ref="P96:Q96"/>
    <mergeCell ref="D121:G121"/>
    <mergeCell ref="H121:K121"/>
    <mergeCell ref="L121:O121"/>
    <mergeCell ref="R96:S96"/>
    <mergeCell ref="T96:U96"/>
    <mergeCell ref="V96:W96"/>
    <mergeCell ref="E107:K107"/>
    <mergeCell ref="B114:C114"/>
    <mergeCell ref="T115:W115"/>
    <mergeCell ref="C150:C151"/>
    <mergeCell ref="T142:W142"/>
    <mergeCell ref="D148:E148"/>
    <mergeCell ref="F148:G148"/>
    <mergeCell ref="H148:I148"/>
    <mergeCell ref="J148:K148"/>
    <mergeCell ref="L148:M148"/>
    <mergeCell ref="D122:E122"/>
    <mergeCell ref="H122:I122"/>
    <mergeCell ref="L122:M122"/>
    <mergeCell ref="N122:O122"/>
    <mergeCell ref="E134:K134"/>
    <mergeCell ref="B141:C141"/>
    <mergeCell ref="T154:W154"/>
    <mergeCell ref="D160:E160"/>
    <mergeCell ref="F160:G160"/>
    <mergeCell ref="H160:I160"/>
    <mergeCell ref="J160:K160"/>
    <mergeCell ref="L160:M160"/>
    <mergeCell ref="D149:E149"/>
    <mergeCell ref="F149:G149"/>
    <mergeCell ref="H149:I149"/>
    <mergeCell ref="J149:K149"/>
    <mergeCell ref="L149:M149"/>
    <mergeCell ref="D202:E202"/>
    <mergeCell ref="D190:E190"/>
    <mergeCell ref="T196:W196"/>
    <mergeCell ref="D161:E161"/>
    <mergeCell ref="F161:G161"/>
    <mergeCell ref="H161:I161"/>
    <mergeCell ref="J161:K161"/>
    <mergeCell ref="L161:M161"/>
    <mergeCell ref="T184:W184"/>
  </mergeCells>
  <dataValidations count="1">
    <dataValidation type="list" allowBlank="1" showInputMessage="1" showErrorMessage="1" sqref="W5">
      <formula1>vat</formula1>
    </dataValidation>
  </dataValidations>
  <pageMargins left="0.23622047244094491" right="0.27559055118110237" top="0.27559055118110237" bottom="0.31496062992125984" header="0.27559055118110237" footer="0.31496062992125984"/>
  <pageSetup paperSize="9" scale="86" fitToHeight="50" orientation="landscape" r:id="rId1"/>
  <headerFooter alignWithMargins="0"/>
  <rowBreaks count="6" manualBreakCount="6">
    <brk id="23" max="18" man="1"/>
    <brk id="45" max="18" man="1"/>
    <brk id="71" max="16383" man="1"/>
    <brk id="157" max="18" man="1"/>
    <brk id="187" max="16383" man="1"/>
    <brk id="199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52</vt:i4>
      </vt:variant>
    </vt:vector>
  </HeadingPairs>
  <TitlesOfParts>
    <vt:vector size="55" baseType="lpstr">
      <vt:lpstr>TITLE</vt:lpstr>
      <vt:lpstr>Полотна (Door Leafs)</vt:lpstr>
      <vt:lpstr>Коробки та інше (Other)</vt:lpstr>
      <vt:lpstr>Door_Dobor</vt:lpstr>
      <vt:lpstr>Door_Dobor_Lada</vt:lpstr>
      <vt:lpstr>Door_Elegant</vt:lpstr>
      <vt:lpstr>Door_Eva</vt:lpstr>
      <vt:lpstr>Door_Geometry</vt:lpstr>
      <vt:lpstr>Door_Glasford</vt:lpstr>
      <vt:lpstr>Door_Idea</vt:lpstr>
      <vt:lpstr>Door_IdeaLoft</vt:lpstr>
      <vt:lpstr>Door_Kupava</vt:lpstr>
      <vt:lpstr>Door_LadaA</vt:lpstr>
      <vt:lpstr>Door_LadaB</vt:lpstr>
      <vt:lpstr>Door_LadaC</vt:lpstr>
      <vt:lpstr>Door_LadaD</vt:lpstr>
      <vt:lpstr>Door_LadaK</vt:lpstr>
      <vt:lpstr>Door_LadaL</vt:lpstr>
      <vt:lpstr>Door_LadaN</vt:lpstr>
      <vt:lpstr>Door_Line</vt:lpstr>
      <vt:lpstr>Door_Lineya</vt:lpstr>
      <vt:lpstr>Door_Lisa</vt:lpstr>
      <vt:lpstr>Door_Nika</vt:lpstr>
      <vt:lpstr>Door_Standard</vt:lpstr>
      <vt:lpstr>Door_Tiana</vt:lpstr>
      <vt:lpstr>'Коробки та інше (Other)'!DoorHandles</vt:lpstr>
      <vt:lpstr>'Коробки та інше (Other)'!Frame_Stand</vt:lpstr>
      <vt:lpstr>'Коробки та інше (Other)'!Frame_VFit</vt:lpstr>
      <vt:lpstr>'Коробки та інше (Other)'!Frame_VFitComfort</vt:lpstr>
      <vt:lpstr>'Коробки та інше (Other)'!Frame_VFitPlus</vt:lpstr>
      <vt:lpstr>'Коробки та інше (Other)'!Framugi</vt:lpstr>
      <vt:lpstr>'Коробки та інше (Other)'!Furniture</vt:lpstr>
      <vt:lpstr>Furniture</vt:lpstr>
      <vt:lpstr>'Коробки та інше (Other)'!Inside</vt:lpstr>
      <vt:lpstr>MENU</vt:lpstr>
      <vt:lpstr>'Коробки та інше (Other)'!Plinths</vt:lpstr>
      <vt:lpstr>'Коробки та інше (Other)'!vat</vt:lpstr>
      <vt:lpstr>vat</vt:lpstr>
      <vt:lpstr>'Коробки та інше (Other)'!Verto_Slide</vt:lpstr>
      <vt:lpstr>Дверна_коробка_STANDARD</vt:lpstr>
      <vt:lpstr>Дверна_коробка_Verto_FIT</vt:lpstr>
      <vt:lpstr>Дверна_коробка_Verto_FIT_Comfort</vt:lpstr>
      <vt:lpstr>Дверна_коробка_Verto_FIT_Inside</vt:lpstr>
      <vt:lpstr>Дверна_коробка_Verto_FIT_Plus</vt:lpstr>
      <vt:lpstr>Дверні_Ручки</vt:lpstr>
      <vt:lpstr>ІДЕЯ_АЛЮМ</vt:lpstr>
      <vt:lpstr>Інші_Аксесуари</vt:lpstr>
      <vt:lpstr>Плінтуси</vt:lpstr>
      <vt:lpstr>'Полотна (Door Leafs)'!Полотна_збірні__PROVENCE</vt:lpstr>
      <vt:lpstr>Полотна_збірні__КЛАСІК</vt:lpstr>
      <vt:lpstr>Полотна_збірні__МОДЕНА</vt:lpstr>
      <vt:lpstr>Полотна_збірні__СОХО</vt:lpstr>
      <vt:lpstr>'Полотна (Door Leafs)'!Прованс</vt:lpstr>
      <vt:lpstr>Розсувна_система_Verto_SLIDE</vt:lpstr>
      <vt:lpstr>Фрамуги</vt:lpstr>
    </vt:vector>
  </TitlesOfParts>
  <Company>pgs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Verto Doors</dc:creator>
  <cp:lastModifiedBy>Ekaterina Nazarenko</cp:lastModifiedBy>
  <cp:lastPrinted>2022-06-20T06:54:42Z</cp:lastPrinted>
  <dcterms:created xsi:type="dcterms:W3CDTF">2011-03-01T10:54:25Z</dcterms:created>
  <dcterms:modified xsi:type="dcterms:W3CDTF">2026-03-13T13:03:10Z</dcterms:modified>
</cp:coreProperties>
</file>